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drawings/drawing9.xml" ContentType="application/vnd.openxmlformats-officedocument.drawing+xml"/>
  <Override PartName="/xl/tables/table14.xml" ContentType="application/vnd.openxmlformats-officedocument.spreadsheetml.table+xml"/>
  <Override PartName="/xl/drawings/drawing10.xml" ContentType="application/vnd.openxmlformats-officedocument.drawing+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drawings/drawing11.xml" ContentType="application/vnd.openxmlformats-officedocument.drawing+xml"/>
  <Override PartName="/xl/tables/table19.xml" ContentType="application/vnd.openxmlformats-officedocument.spreadsheetml.table+xml"/>
  <Override PartName="/xl/drawings/drawing12.xml" ContentType="application/vnd.openxmlformats-officedocument.drawing+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drawings/drawing13.xml" ContentType="application/vnd.openxmlformats-officedocument.drawing+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drawings/drawing14.xml" ContentType="application/vnd.openxmlformats-officedocument.drawing+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drawings/drawing15.xml" ContentType="application/vnd.openxmlformats-officedocument.drawing+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drawings/drawing16.xml" ContentType="application/vnd.openxmlformats-officedocument.drawing+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drawings/drawing17.xml" ContentType="application/vnd.openxmlformats-officedocument.drawing+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drawings/drawing18.xml" ContentType="application/vnd.openxmlformats-officedocument.drawing+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drawings/drawing19.xml" ContentType="application/vnd.openxmlformats-officedocument.drawing+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drawings/drawing20.xml" ContentType="application/vnd.openxmlformats-officedocument.drawing+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drawings/drawing21.xml" ContentType="application/vnd.openxmlformats-officedocument.drawing+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drawings/drawing22.xml" ContentType="application/vnd.openxmlformats-officedocument.drawing+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drawings/drawing23.xml" ContentType="application/vnd.openxmlformats-officedocument.drawing+xml"/>
  <Override PartName="/xl/drawings/drawing24.xml" ContentType="application/vnd.openxmlformats-officedocument.drawing+xml"/>
  <Override PartName="/xl/tables/table71.xml" ContentType="application/vnd.openxmlformats-officedocument.spreadsheetml.table+xml"/>
  <Override PartName="/xl/drawings/drawing25.xml" ContentType="application/vnd.openxmlformats-officedocument.drawing+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drawings/drawing26.xml" ContentType="application/vnd.openxmlformats-officedocument.drawing+xml"/>
  <Override PartName="/xl/tables/table76.xml" ContentType="application/vnd.openxmlformats-officedocument.spreadsheetml.table+xml"/>
  <Override PartName="/xl/drawings/drawing27.xml" ContentType="application/vnd.openxmlformats-officedocument.drawing+xml"/>
  <Override PartName="/xl/tables/table77.xml" ContentType="application/vnd.openxmlformats-officedocument.spreadsheetml.table+xml"/>
  <Override PartName="/xl/drawings/drawing28.xml" ContentType="application/vnd.openxmlformats-officedocument.drawing+xml"/>
  <Override PartName="/xl/tables/table78.xml" ContentType="application/vnd.openxmlformats-officedocument.spreadsheetml.table+xml"/>
  <Override PartName="/xl/drawings/drawing29.xml" ContentType="application/vnd.openxmlformats-officedocument.drawing+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drawings/drawing30.xml" ContentType="application/vnd.openxmlformats-officedocument.drawing+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drawings/drawing31.xml" ContentType="application/vnd.openxmlformats-officedocument.drawing+xml"/>
  <Override PartName="/xl/tables/table85.xml" ContentType="application/vnd.openxmlformats-officedocument.spreadsheetml.table+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drawings/drawing35.xml" ContentType="application/vnd.openxmlformats-officedocument.drawing+xml"/>
  <Override PartName="/xl/tables/table89.xml" ContentType="application/vnd.openxmlformats-officedocument.spreadsheetml.table+xml"/>
  <Override PartName="/xl/drawings/drawing36.xml" ContentType="application/vnd.openxmlformats-officedocument.drawing+xml"/>
  <Override PartName="/xl/tables/table90.xml" ContentType="application/vnd.openxmlformats-officedocument.spreadsheetml.table+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drawings/drawing40.xml" ContentType="application/vnd.openxmlformats-officedocument.drawing+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drawings/drawing41.xml" ContentType="application/vnd.openxmlformats-officedocument.drawing+xml"/>
  <Override PartName="/xl/tables/table97.xml" ContentType="application/vnd.openxmlformats-officedocument.spreadsheetml.table+xml"/>
  <Override PartName="/xl/tables/table98.xml" ContentType="application/vnd.openxmlformats-officedocument.spreadsheetml.table+xml"/>
  <Override PartName="/xl/tables/table99.xml" ContentType="application/vnd.openxmlformats-officedocument.spreadsheetml.table+xml"/>
  <Override PartName="/xl/tables/table100.xml" ContentType="application/vnd.openxmlformats-officedocument.spreadsheetml.table+xml"/>
  <Override PartName="/xl/tables/table101.xml" ContentType="application/vnd.openxmlformats-officedocument.spreadsheetml.table+xml"/>
  <Override PartName="/xl/tables/table102.xml" ContentType="application/vnd.openxmlformats-officedocument.spreadsheetml.table+xml"/>
  <Override PartName="/xl/tables/table103.xml" ContentType="application/vnd.openxmlformats-officedocument.spreadsheetml.table+xml"/>
  <Override PartName="/xl/tables/table104.xml" ContentType="application/vnd.openxmlformats-officedocument.spreadsheetml.table+xml"/>
  <Override PartName="/xl/tables/table105.xml" ContentType="application/vnd.openxmlformats-officedocument.spreadsheetml.table+xml"/>
  <Override PartName="/xl/tables/table106.xml" ContentType="application/vnd.openxmlformats-officedocument.spreadsheetml.table+xml"/>
  <Override PartName="/xl/tables/table107.xml" ContentType="application/vnd.openxmlformats-officedocument.spreadsheetml.table+xml"/>
  <Override PartName="/xl/tables/table108.xml" ContentType="application/vnd.openxmlformats-officedocument.spreadsheetml.table+xml"/>
  <Override PartName="/xl/tables/table109.xml" ContentType="application/vnd.openxmlformats-officedocument.spreadsheetml.table+xml"/>
  <Override PartName="/xl/tables/table110.xml" ContentType="application/vnd.openxmlformats-officedocument.spreadsheetml.table+xml"/>
  <Override PartName="/xl/drawings/drawing42.xml" ContentType="application/vnd.openxmlformats-officedocument.drawing+xml"/>
  <Override PartName="/xl/tables/table111.xml" ContentType="application/vnd.openxmlformats-officedocument.spreadsheetml.table+xml"/>
  <Override PartName="/xl/tables/table112.xml" ContentType="application/vnd.openxmlformats-officedocument.spreadsheetml.table+xml"/>
  <Override PartName="/xl/tables/table113.xml" ContentType="application/vnd.openxmlformats-officedocument.spreadsheetml.table+xml"/>
  <Override PartName="/xl/tables/table114.xml" ContentType="application/vnd.openxmlformats-officedocument.spreadsheetml.table+xml"/>
  <Override PartName="/xl/tables/table115.xml" ContentType="application/vnd.openxmlformats-officedocument.spreadsheetml.table+xml"/>
  <Override PartName="/xl/tables/table116.xml" ContentType="application/vnd.openxmlformats-officedocument.spreadsheetml.table+xml"/>
  <Override PartName="/xl/tables/table117.xml" ContentType="application/vnd.openxmlformats-officedocument.spreadsheetml.table+xml"/>
  <Override PartName="/xl/tables/table118.xml" ContentType="application/vnd.openxmlformats-officedocument.spreadsheetml.table+xml"/>
  <Override PartName="/xl/tables/table119.xml" ContentType="application/vnd.openxmlformats-officedocument.spreadsheetml.table+xml"/>
  <Override PartName="/xl/tables/table120.xml" ContentType="application/vnd.openxmlformats-officedocument.spreadsheetml.table+xml"/>
  <Override PartName="/xl/tables/table121.xml" ContentType="application/vnd.openxmlformats-officedocument.spreadsheetml.table+xml"/>
  <Override PartName="/xl/tables/table122.xml" ContentType="application/vnd.openxmlformats-officedocument.spreadsheetml.table+xml"/>
  <Override PartName="/xl/tables/table123.xml" ContentType="application/vnd.openxmlformats-officedocument.spreadsheetml.table+xml"/>
  <Override PartName="/xl/tables/table124.xml" ContentType="application/vnd.openxmlformats-officedocument.spreadsheetml.table+xml"/>
  <Override PartName="/xl/drawings/drawing43.xml" ContentType="application/vnd.openxmlformats-officedocument.drawing+xml"/>
  <Override PartName="/xl/tables/table125.xml" ContentType="application/vnd.openxmlformats-officedocument.spreadsheetml.table+xml"/>
  <Override PartName="/xl/tables/table126.xml" ContentType="application/vnd.openxmlformats-officedocument.spreadsheetml.table+xml"/>
  <Override PartName="/xl/tables/table127.xml" ContentType="application/vnd.openxmlformats-officedocument.spreadsheetml.table+xml"/>
  <Override PartName="/xl/drawings/drawing44.xml" ContentType="application/vnd.openxmlformats-officedocument.drawing+xml"/>
  <Override PartName="/xl/tables/table128.xml" ContentType="application/vnd.openxmlformats-officedocument.spreadsheetml.table+xml"/>
  <Override PartName="/xl/tables/table129.xml" ContentType="application/vnd.openxmlformats-officedocument.spreadsheetml.table+xml"/>
  <Override PartName="/xl/tables/table13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rigov.sharepoint.com/sites/DOT-ESTIP/Discretionary Grants/2023 INFRA - Missing Move and 4R/Missing Move 2023/Submission to USDOT/"/>
    </mc:Choice>
  </mc:AlternateContent>
  <xr:revisionPtr revIDLastSave="0" documentId="8_{C1361543-EE12-4470-A55B-16321F846279}" xr6:coauthVersionLast="47" xr6:coauthVersionMax="47" xr10:uidLastSave="{00000000-0000-0000-0000-000000000000}"/>
  <bookViews>
    <workbookView xWindow="-120" yWindow="-120" windowWidth="29040" windowHeight="15840" tabRatio="899" xr2:uid="{00000000-000D-0000-FFFF-FFFF00000000}"/>
  </bookViews>
  <sheets>
    <sheet name="ALL_ES-1. Executive Summary" sheetId="68" r:id="rId1"/>
    <sheet name="ALL_ES-2. B&amp;C Summary Backup" sheetId="67" r:id="rId2"/>
    <sheet name="MM_ES-1. Executive Summary" sheetId="2" r:id="rId3"/>
    <sheet name="MM_ES-2. B&amp;C Summary Backup" sheetId="26" r:id="rId4"/>
    <sheet name="Q_ES-1. Executive Summary" sheetId="51" r:id="rId5"/>
    <sheet name="Freight Rating" sheetId="29" state="hidden" r:id="rId6"/>
    <sheet name="Q_ES-2. B&amp;C Summary Backup" sheetId="53" r:id="rId7"/>
    <sheet name="MM_1. Safety Benefits" sheetId="4" r:id="rId8"/>
    <sheet name="MM_1B. Safety Backup" sheetId="27" r:id="rId9"/>
    <sheet name="Q_1. Safety Benefits" sheetId="52" r:id="rId10"/>
    <sheet name="Q_1B. Safety Backup" sheetId="54" r:id="rId11"/>
    <sheet name="MM_2. Emissions Benefits" sheetId="11" r:id="rId12"/>
    <sheet name="MM_2B. Emissions Backup" sheetId="17" r:id="rId13"/>
    <sheet name="Q_2. Emissions Benefits" sheetId="55" r:id="rId14"/>
    <sheet name="Q_2B. Emissions Backup" sheetId="56" r:id="rId15"/>
    <sheet name="MM_3. Travel Time Benefits" sheetId="6" r:id="rId16"/>
    <sheet name="MM_3B. TTS Backup 2028" sheetId="18" r:id="rId17"/>
    <sheet name="MM_3C. TTS Backup 2058" sheetId="33" r:id="rId18"/>
    <sheet name="MM_3D. TTS Backup All Years" sheetId="21" r:id="rId19"/>
    <sheet name="Q_3. Travel Time Benefits" sheetId="57" r:id="rId20"/>
    <sheet name="Q_3B. TTS Backup 2028" sheetId="58" r:id="rId21"/>
    <sheet name="Q_3C. TTS Backup 2058" sheetId="59" r:id="rId22"/>
    <sheet name="Job Creation Benefit" sheetId="13" state="hidden" r:id="rId23"/>
    <sheet name="Job Creation Backup" sheetId="25" state="hidden" r:id="rId24"/>
    <sheet name="4. Foregone Cost Savings" sheetId="9" state="hidden" r:id="rId25"/>
    <sheet name="4B. Foregone Cost Backup" sheetId="43" state="hidden" r:id="rId26"/>
    <sheet name="5. Transit Facility Benefits" sheetId="44" state="hidden" r:id="rId27"/>
    <sheet name="5B. Transit Facility Backup" sheetId="35" state="hidden" r:id="rId28"/>
    <sheet name="6. Pedestrian Facility Benefits" sheetId="45" state="hidden" r:id="rId29"/>
    <sheet name="6B. Pedestrian Facility Backup" sheetId="36" state="hidden" r:id="rId30"/>
    <sheet name="7. Cycling Facility Benefits" sheetId="40" state="hidden" r:id="rId31"/>
    <sheet name="8. Mortality Reduction Benefits" sheetId="41" state="hidden" r:id="rId32"/>
    <sheet name="9. Ped &amp; Cyclist Count Backup" sheetId="42" state="hidden" r:id="rId33"/>
    <sheet name="Work Zone Closure Impact" sheetId="8" state="hidden" r:id="rId34"/>
    <sheet name="Q_3D. TTS Backup All Years" sheetId="60" r:id="rId35"/>
    <sheet name="MM_10. Future Eligible Costs" sheetId="14" r:id="rId36"/>
    <sheet name="Q_10. Future Eligible Costs" sheetId="61" r:id="rId37"/>
    <sheet name="MM_11. Work Zone Impact Costs" sheetId="10" r:id="rId38"/>
    <sheet name="Q_11. Work Zone Impact Costs" sheetId="62" r:id="rId39"/>
    <sheet name="MM_12. Lifecycle Mgmt. Costs" sheetId="47" r:id="rId40"/>
    <sheet name="Q_12. Lifecycle Mgmt. Costs" sheetId="63" r:id="rId41"/>
    <sheet name="Appendix A. Parameter Values" sheetId="32" r:id="rId42"/>
    <sheet name="Q_Appendix A. Parameter Values" sheetId="64" r:id="rId43"/>
    <sheet name="Appendix B. Project Information" sheetId="30" r:id="rId44"/>
    <sheet name="Q_Appendix B. Project Info" sheetId="65" r:id="rId45"/>
  </sheets>
  <definedNames>
    <definedName name="_xlnm._FilterDatabase" localSheetId="7" hidden="1">'MM_1. Safety Benefits'!#REF!</definedName>
    <definedName name="_xlnm._FilterDatabase" localSheetId="9" hidden="1">'Q_1. Safety Benefits'!#REF!</definedName>
    <definedName name="All_Purpose_Travel" localSheetId="9">'Q_Appendix A. Parameter Values'!$C$35</definedName>
    <definedName name="All_Purpose_Travel" localSheetId="36">'Q_Appendix A. Parameter Values'!$C$35</definedName>
    <definedName name="All_Purpose_Travel" localSheetId="38">'Q_Appendix A. Parameter Values'!$C$35</definedName>
    <definedName name="All_Purpose_Travel" localSheetId="40">'Q_Appendix A. Parameter Values'!$C$35</definedName>
    <definedName name="All_Purpose_Travel" localSheetId="10">'Q_Appendix A. Parameter Values'!$C$35</definedName>
    <definedName name="All_Purpose_Travel" localSheetId="13">'Q_Appendix A. Parameter Values'!$C$35</definedName>
    <definedName name="All_Purpose_Travel" localSheetId="14">'Q_Appendix A. Parameter Values'!$C$35</definedName>
    <definedName name="All_Purpose_Travel" localSheetId="19">'Q_Appendix A. Parameter Values'!$C$35</definedName>
    <definedName name="All_Purpose_Travel" localSheetId="20">'Q_Appendix A. Parameter Values'!$C$35</definedName>
    <definedName name="All_Purpose_Travel" localSheetId="21">'Q_Appendix A. Parameter Values'!$C$35</definedName>
    <definedName name="All_Purpose_Travel" localSheetId="34">'Q_Appendix A. Parameter Values'!$C$35</definedName>
    <definedName name="All_Purpose_Travel" localSheetId="42">'Q_Appendix A. Parameter Values'!$C$35</definedName>
    <definedName name="All_Purpose_Travel" localSheetId="44">'Q_Appendix A. Parameter Values'!$C$35</definedName>
    <definedName name="All_Purpose_Travel" localSheetId="4">'Q_Appendix A. Parameter Values'!$C$35</definedName>
    <definedName name="All_Purpose_Travel" localSheetId="6">'Q_Appendix A. Parameter Values'!$C$35</definedName>
    <definedName name="All_Purpose_Travel">'Appendix A. Parameter Values'!$C$35</definedName>
    <definedName name="AvgDelay_27NB" localSheetId="26">Table3B.3_27TTS_NB[[#Totals],[Average Delay (hr/veh)]]</definedName>
    <definedName name="AvgDelay_27NB" localSheetId="28">Table3B.3_27TTS_NB[[#Totals],[Average Delay (hr/veh)]]</definedName>
    <definedName name="AvgDelay_27NB" localSheetId="30">Table3B.3_27TTS_NB[[#Totals],[Average Delay (hr/veh)]]</definedName>
    <definedName name="AvgDelay_27NB" localSheetId="31">Table3B.3_27TTS_NB[[#Totals],[Average Delay (hr/veh)]]</definedName>
    <definedName name="AvgDelay_27NB" localSheetId="0">Table3B.3_27TTS_NB[[#Totals],[Average Delay (hr/veh)]]</definedName>
    <definedName name="AvgDelay_27NB" localSheetId="1">Table3B.3_27TTS_NB[[#Totals],[Average Delay (hr/veh)]]</definedName>
    <definedName name="AvgDelay_27NB" localSheetId="39">Table3B.3_27TTS_NB[[#Totals],[Average Delay (hr/veh)]]</definedName>
    <definedName name="AvgDelay_27NB" localSheetId="9">Table3B.3_27TTS_NB100[[#Totals],[Average Delay (hr/veh)]]</definedName>
    <definedName name="AvgDelay_27NB" localSheetId="36">Table3B.3_27TTS_NB100[[#Totals],[Average Delay (hr/veh)]]</definedName>
    <definedName name="AvgDelay_27NB" localSheetId="38">Table3B.3_27TTS_NB100[[#Totals],[Average Delay (hr/veh)]]</definedName>
    <definedName name="AvgDelay_27NB" localSheetId="40">Table3B.3_27TTS_NB100[[#Totals],[Average Delay (hr/veh)]]</definedName>
    <definedName name="AvgDelay_27NB" localSheetId="10">Table3B.3_27TTS_NB100[[#Totals],[Average Delay (hr/veh)]]</definedName>
    <definedName name="AvgDelay_27NB" localSheetId="13">Table3B.3_27TTS_NB100[[#Totals],[Average Delay (hr/veh)]]</definedName>
    <definedName name="AvgDelay_27NB" localSheetId="14">Table3B.3_27TTS_NB100[[#Totals],[Average Delay (hr/veh)]]</definedName>
    <definedName name="AvgDelay_27NB" localSheetId="19">Table3B.3_27TTS_NB100[[#Totals],[Average Delay (hr/veh)]]</definedName>
    <definedName name="AvgDelay_27NB" localSheetId="20">Table3B.3_27TTS_NB100[[#Totals],[Average Delay (hr/veh)]]</definedName>
    <definedName name="AvgDelay_27NB" localSheetId="21">Table3B.3_27TTS_NB100[[#Totals],[Average Delay (hr/veh)]]</definedName>
    <definedName name="AvgDelay_27NB" localSheetId="34">Table3B.3_27TTS_NB100[[#Totals],[Average Delay (hr/veh)]]</definedName>
    <definedName name="AvgDelay_27NB" localSheetId="42">Table3B.3_27TTS_NB100[[#Totals],[Average Delay (hr/veh)]]</definedName>
    <definedName name="AvgDelay_27NB" localSheetId="44">Table3B.3_27TTS_NB100[[#Totals],[Average Delay (hr/veh)]]</definedName>
    <definedName name="AvgDelay_27NB" localSheetId="4">Table3B.3_27TTS_NB100[[#Totals],[Average Delay (hr/veh)]]</definedName>
    <definedName name="AvgDelay_27NB" localSheetId="6">Table3B.3_27TTS_NB100[[#Totals],[Average Delay (hr/veh)]]</definedName>
    <definedName name="AvgDelay_27NB">Table3B.3_27TTS_NB[[#Totals],[Average Delay (hr/veh)]]</definedName>
    <definedName name="AvgDelay_27PA" localSheetId="26">Table3B.5_27TTS_PA[[#Totals],[Average Delay: Per Vehicle (hr/veh)]]</definedName>
    <definedName name="AvgDelay_27PA" localSheetId="28">Table3B.5_27TTS_PA[[#Totals],[Average Delay: Per Vehicle (hr/veh)]]</definedName>
    <definedName name="AvgDelay_27PA" localSheetId="30">Table3B.5_27TTS_PA[[#Totals],[Average Delay: Per Vehicle (hr/veh)]]</definedName>
    <definedName name="AvgDelay_27PA" localSheetId="31">Table3B.5_27TTS_PA[[#Totals],[Average Delay: Per Vehicle (hr/veh)]]</definedName>
    <definedName name="AvgDelay_27PA" localSheetId="0">Table3B.5_27TTS_PA[[#Totals],[Average Delay: Per Vehicle (hr/veh)]]</definedName>
    <definedName name="AvgDelay_27PA" localSheetId="1">Table3B.5_27TTS_PA[[#Totals],[Average Delay: Per Vehicle (hr/veh)]]</definedName>
    <definedName name="AvgDelay_27PA" localSheetId="39">Table3B.5_27TTS_PA[[#Totals],[Average Delay: Per Vehicle (hr/veh)]]</definedName>
    <definedName name="AvgDelay_27PA" localSheetId="9">Table3B.5_27TTS_PA101[[#Totals],[Average Delay: Per Vehicle (hr/veh)]]</definedName>
    <definedName name="AvgDelay_27PA" localSheetId="36">Table3B.5_27TTS_PA101[[#Totals],[Average Delay: Per Vehicle (hr/veh)]]</definedName>
    <definedName name="AvgDelay_27PA" localSheetId="38">Table3B.5_27TTS_PA101[[#Totals],[Average Delay: Per Vehicle (hr/veh)]]</definedName>
    <definedName name="AvgDelay_27PA" localSheetId="40">Table3B.5_27TTS_PA101[[#Totals],[Average Delay: Per Vehicle (hr/veh)]]</definedName>
    <definedName name="AvgDelay_27PA" localSheetId="10">Table3B.5_27TTS_PA101[[#Totals],[Average Delay: Per Vehicle (hr/veh)]]</definedName>
    <definedName name="AvgDelay_27PA" localSheetId="13">Table3B.5_27TTS_PA101[[#Totals],[Average Delay: Per Vehicle (hr/veh)]]</definedName>
    <definedName name="AvgDelay_27PA" localSheetId="14">Table3B.5_27TTS_PA101[[#Totals],[Average Delay: Per Vehicle (hr/veh)]]</definedName>
    <definedName name="AvgDelay_27PA" localSheetId="19">Table3B.5_27TTS_PA101[[#Totals],[Average Delay: Per Vehicle (hr/veh)]]</definedName>
    <definedName name="AvgDelay_27PA" localSheetId="20">Table3B.5_27TTS_PA101[[#Totals],[Average Delay: Per Vehicle (hr/veh)]]</definedName>
    <definedName name="AvgDelay_27PA" localSheetId="21">Table3B.5_27TTS_PA101[[#Totals],[Average Delay: Per Vehicle (hr/veh)]]</definedName>
    <definedName name="AvgDelay_27PA" localSheetId="34">Table3B.5_27TTS_PA101[[#Totals],[Average Delay: Per Vehicle (hr/veh)]]</definedName>
    <definedName name="AvgDelay_27PA" localSheetId="42">Table3B.5_27TTS_PA101[[#Totals],[Average Delay: Per Vehicle (hr/veh)]]</definedName>
    <definedName name="AvgDelay_27PA" localSheetId="44">Table3B.5_27TTS_PA101[[#Totals],[Average Delay: Per Vehicle (hr/veh)]]</definedName>
    <definedName name="AvgDelay_27PA" localSheetId="4">Table3B.5_27TTS_PA101[[#Totals],[Average Delay: Per Vehicle (hr/veh)]]</definedName>
    <definedName name="AvgDelay_27PA" localSheetId="6">Table3B.5_27TTS_PA101[[#Totals],[Average Delay: Per Vehicle (hr/veh)]]</definedName>
    <definedName name="AvgDelay_27PA">Table3B.5_27TTS_PA[[#Totals],[Average Delay: Per Vehicle (hr/veh)]]</definedName>
    <definedName name="AvgDelay_27PAB" localSheetId="26">Table3B.5_27TTS_PA[[#Totals],[Average Delay: Per Vehicle (hr/veh)]]</definedName>
    <definedName name="AvgDelay_27PAB" localSheetId="28">Table3B.5_27TTS_PA[[#Totals],[Average Delay: Per Vehicle (hr/veh)]]</definedName>
    <definedName name="AvgDelay_27PAB" localSheetId="0">Table3B.5_27TTS_PA[[#Totals],[Average Delay: Per Vehicle (hr/veh)]]</definedName>
    <definedName name="AvgDelay_27PAB" localSheetId="1">Table3B.5_27TTS_PA[[#Totals],[Average Delay: Per Vehicle (hr/veh)]]</definedName>
    <definedName name="AvgDelay_27PAB" localSheetId="39">Table3B.5_27TTS_PA[[#Totals],[Average Delay: Per Vehicle (hr/veh)]]</definedName>
    <definedName name="AvgDelay_27PAB" localSheetId="9">Table3B.5_27TTS_PA101[[#Totals],[Average Delay: Per Vehicle (hr/veh)]]</definedName>
    <definedName name="AvgDelay_27PAB" localSheetId="36">Table3B.5_27TTS_PA101[[#Totals],[Average Delay: Per Vehicle (hr/veh)]]</definedName>
    <definedName name="AvgDelay_27PAB" localSheetId="38">Table3B.5_27TTS_PA101[[#Totals],[Average Delay: Per Vehicle (hr/veh)]]</definedName>
    <definedName name="AvgDelay_27PAB" localSheetId="40">Table3B.5_27TTS_PA101[[#Totals],[Average Delay: Per Vehicle (hr/veh)]]</definedName>
    <definedName name="AvgDelay_27PAB" localSheetId="10">Table3B.5_27TTS_PA101[[#Totals],[Average Delay: Per Vehicle (hr/veh)]]</definedName>
    <definedName name="AvgDelay_27PAB" localSheetId="13">Table3B.5_27TTS_PA101[[#Totals],[Average Delay: Per Vehicle (hr/veh)]]</definedName>
    <definedName name="AvgDelay_27PAB" localSheetId="14">Table3B.5_27TTS_PA101[[#Totals],[Average Delay: Per Vehicle (hr/veh)]]</definedName>
    <definedName name="AvgDelay_27PAB" localSheetId="19">Table3B.5_27TTS_PA101[[#Totals],[Average Delay: Per Vehicle (hr/veh)]]</definedName>
    <definedName name="AvgDelay_27PAB" localSheetId="20">Table3B.5_27TTS_PA101[[#Totals],[Average Delay: Per Vehicle (hr/veh)]]</definedName>
    <definedName name="AvgDelay_27PAB" localSheetId="21">Table3B.5_27TTS_PA101[[#Totals],[Average Delay: Per Vehicle (hr/veh)]]</definedName>
    <definedName name="AvgDelay_27PAB" localSheetId="34">Table3B.5_27TTS_PA101[[#Totals],[Average Delay: Per Vehicle (hr/veh)]]</definedName>
    <definedName name="AvgDelay_27PAB" localSheetId="42">Table3B.5_27TTS_PA101[[#Totals],[Average Delay: Per Vehicle (hr/veh)]]</definedName>
    <definedName name="AvgDelay_27PAB" localSheetId="44">Table3B.5_27TTS_PA101[[#Totals],[Average Delay: Per Vehicle (hr/veh)]]</definedName>
    <definedName name="AvgDelay_27PAB" localSheetId="4">Table3B.5_27TTS_PA101[[#Totals],[Average Delay: Per Vehicle (hr/veh)]]</definedName>
    <definedName name="AvgDelay_27PAB" localSheetId="6">Table3B.5_27TTS_PA101[[#Totals],[Average Delay: Per Vehicle (hr/veh)]]</definedName>
    <definedName name="AvgDelay_27PAB">Table3B.5_27TTS_PA[[#Totals],[Average Delay: Per Vehicle (hr/veh)]]</definedName>
    <definedName name="AvgDelay_57NB" localSheetId="26">Table3C.1_57TTS_NB[[#Totals],[Average Delay (hr/veh)]]</definedName>
    <definedName name="AvgDelay_57NB" localSheetId="28">Table3C.1_57TTS_NB[[#Totals],[Average Delay (hr/veh)]]</definedName>
    <definedName name="AvgDelay_57NB" localSheetId="30">Table3C.1_57TTS_NB[[#Totals],[Average Delay (hr/veh)]]</definedName>
    <definedName name="AvgDelay_57NB" localSheetId="31">Table3C.1_57TTS_NB[[#Totals],[Average Delay (hr/veh)]]</definedName>
    <definedName name="AvgDelay_57NB" localSheetId="0">Table3C.1_57TTS_NB[[#Totals],[Average Delay (hr/veh)]]</definedName>
    <definedName name="AvgDelay_57NB" localSheetId="1">Table3C.1_57TTS_NB[[#Totals],[Average Delay (hr/veh)]]</definedName>
    <definedName name="AvgDelay_57NB" localSheetId="39">Table3C.1_57TTS_NB[[#Totals],[Average Delay (hr/veh)]]</definedName>
    <definedName name="AvgDelay_57NB" localSheetId="9">Table3C.1_57TTS_NB105[[#Totals],[Average Delay (hr/veh)]]</definedName>
    <definedName name="AvgDelay_57NB" localSheetId="36">Table3C.1_57TTS_NB105[[#Totals],[Average Delay (hr/veh)]]</definedName>
    <definedName name="AvgDelay_57NB" localSheetId="38">Table3C.1_57TTS_NB105[[#Totals],[Average Delay (hr/veh)]]</definedName>
    <definedName name="AvgDelay_57NB" localSheetId="40">Table3C.1_57TTS_NB105[[#Totals],[Average Delay (hr/veh)]]</definedName>
    <definedName name="AvgDelay_57NB" localSheetId="10">Table3C.1_57TTS_NB105[[#Totals],[Average Delay (hr/veh)]]</definedName>
    <definedName name="AvgDelay_57NB" localSheetId="13">Table3C.1_57TTS_NB105[[#Totals],[Average Delay (hr/veh)]]</definedName>
    <definedName name="AvgDelay_57NB" localSheetId="14">Table3C.1_57TTS_NB105[[#Totals],[Average Delay (hr/veh)]]</definedName>
    <definedName name="AvgDelay_57NB" localSheetId="19">Table3C.1_57TTS_NB105[[#Totals],[Average Delay (hr/veh)]]</definedName>
    <definedName name="AvgDelay_57NB" localSheetId="20">Table3C.1_57TTS_NB105[[#Totals],[Average Delay (hr/veh)]]</definedName>
    <definedName name="AvgDelay_57NB" localSheetId="21">Table3C.1_57TTS_NB105[[#Totals],[Average Delay (hr/veh)]]</definedName>
    <definedName name="AvgDelay_57NB" localSheetId="34">Table3C.1_57TTS_NB105[[#Totals],[Average Delay (hr/veh)]]</definedName>
    <definedName name="AvgDelay_57NB" localSheetId="42">Table3C.1_57TTS_NB105[[#Totals],[Average Delay (hr/veh)]]</definedName>
    <definedName name="AvgDelay_57NB" localSheetId="44">Table3C.1_57TTS_NB105[[#Totals],[Average Delay (hr/veh)]]</definedName>
    <definedName name="AvgDelay_57NB" localSheetId="4">Table3C.1_57TTS_NB105[[#Totals],[Average Delay (hr/veh)]]</definedName>
    <definedName name="AvgDelay_57NB" localSheetId="6">Table3C.1_57TTS_NB105[[#Totals],[Average Delay (hr/veh)]]</definedName>
    <definedName name="AvgDelay_57NB">Table3C.1_57TTS_NB[[#Totals],[Average Delay (hr/veh)]]</definedName>
    <definedName name="AvgDelay_57PA" localSheetId="26">Table3C.3_57TTS_PA[[#Totals],[Average Delay: Per Vehicle (hr/veh)]]</definedName>
    <definedName name="AvgDelay_57PA" localSheetId="28">Table3C.3_57TTS_PA[[#Totals],[Average Delay: Per Vehicle (hr/veh)]]</definedName>
    <definedName name="AvgDelay_57PA" localSheetId="30">Table3C.3_57TTS_PA[[#Totals],[Average Delay: Per Vehicle (hr/veh)]]</definedName>
    <definedName name="AvgDelay_57PA" localSheetId="31">Table3C.3_57TTS_PA[[#Totals],[Average Delay: Per Vehicle (hr/veh)]]</definedName>
    <definedName name="AvgDelay_57PA" localSheetId="0">Table3C.3_57TTS_PA[[#Totals],[Average Delay: Per Vehicle (hr/veh)]]</definedName>
    <definedName name="AvgDelay_57PA" localSheetId="1">Table3C.3_57TTS_PA[[#Totals],[Average Delay: Per Vehicle (hr/veh)]]</definedName>
    <definedName name="AvgDelay_57PA" localSheetId="39">Table3C.3_57TTS_PA[[#Totals],[Average Delay: Per Vehicle (hr/veh)]]</definedName>
    <definedName name="AvgDelay_57PA" localSheetId="9">Table3C.3_57TTS_PA106[[#Totals],[Average Delay: Per Vehicle (hr/veh)]]</definedName>
    <definedName name="AvgDelay_57PA" localSheetId="36">Table3C.3_57TTS_PA106[[#Totals],[Average Delay: Per Vehicle (hr/veh)]]</definedName>
    <definedName name="AvgDelay_57PA" localSheetId="38">Table3C.3_57TTS_PA106[[#Totals],[Average Delay: Per Vehicle (hr/veh)]]</definedName>
    <definedName name="AvgDelay_57PA" localSheetId="40">Table3C.3_57TTS_PA106[[#Totals],[Average Delay: Per Vehicle (hr/veh)]]</definedName>
    <definedName name="AvgDelay_57PA" localSheetId="10">Table3C.3_57TTS_PA106[[#Totals],[Average Delay: Per Vehicle (hr/veh)]]</definedName>
    <definedName name="AvgDelay_57PA" localSheetId="13">Table3C.3_57TTS_PA106[[#Totals],[Average Delay: Per Vehicle (hr/veh)]]</definedName>
    <definedName name="AvgDelay_57PA" localSheetId="14">Table3C.3_57TTS_PA106[[#Totals],[Average Delay: Per Vehicle (hr/veh)]]</definedName>
    <definedName name="AvgDelay_57PA" localSheetId="19">Table3C.3_57TTS_PA106[[#Totals],[Average Delay: Per Vehicle (hr/veh)]]</definedName>
    <definedName name="AvgDelay_57PA" localSheetId="20">Table3C.3_57TTS_PA106[[#Totals],[Average Delay: Per Vehicle (hr/veh)]]</definedName>
    <definedName name="AvgDelay_57PA" localSheetId="21">Table3C.3_57TTS_PA106[[#Totals],[Average Delay: Per Vehicle (hr/veh)]]</definedName>
    <definedName name="AvgDelay_57PA" localSheetId="34">Table3C.3_57TTS_PA106[[#Totals],[Average Delay: Per Vehicle (hr/veh)]]</definedName>
    <definedName name="AvgDelay_57PA" localSheetId="42">Table3C.3_57TTS_PA106[[#Totals],[Average Delay: Per Vehicle (hr/veh)]]</definedName>
    <definedName name="AvgDelay_57PA" localSheetId="44">Table3C.3_57TTS_PA106[[#Totals],[Average Delay: Per Vehicle (hr/veh)]]</definedName>
    <definedName name="AvgDelay_57PA" localSheetId="4">Table3C.3_57TTS_PA106[[#Totals],[Average Delay: Per Vehicle (hr/veh)]]</definedName>
    <definedName name="AvgDelay_57PA" localSheetId="6">Table3C.3_57TTS_PA106[[#Totals],[Average Delay: Per Vehicle (hr/veh)]]</definedName>
    <definedName name="AvgDelay_57PA">Table3C.3_57TTS_PA[[#Totals],[Average Delay: Per Vehicle (hr/veh)]]</definedName>
    <definedName name="Closeout" localSheetId="9">'Q_Appendix B. Project Info'!$F$15</definedName>
    <definedName name="Closeout" localSheetId="36">'Q_Appendix B. Project Info'!$F$15</definedName>
    <definedName name="Closeout" localSheetId="38">'Q_Appendix B. Project Info'!$F$15</definedName>
    <definedName name="Closeout" localSheetId="40">'Q_Appendix B. Project Info'!$F$15</definedName>
    <definedName name="Closeout" localSheetId="10">'Q_Appendix B. Project Info'!$F$15</definedName>
    <definedName name="Closeout" localSheetId="13">'Q_Appendix B. Project Info'!$F$15</definedName>
    <definedName name="Closeout" localSheetId="14">'Q_Appendix B. Project Info'!$F$15</definedName>
    <definedName name="Closeout" localSheetId="19">'Q_Appendix B. Project Info'!$F$15</definedName>
    <definedName name="Closeout" localSheetId="20">'Q_Appendix B. Project Info'!$F$15</definedName>
    <definedName name="Closeout" localSheetId="21">'Q_Appendix B. Project Info'!$F$15</definedName>
    <definedName name="Closeout" localSheetId="34">'Q_Appendix B. Project Info'!$F$15</definedName>
    <definedName name="Closeout" localSheetId="42">'Q_Appendix B. Project Info'!$F$15</definedName>
    <definedName name="Closeout" localSheetId="44">'Q_Appendix B. Project Info'!$F$15</definedName>
    <definedName name="Closeout" localSheetId="4">'Q_Appendix B. Project Info'!$F$15</definedName>
    <definedName name="Closeout" localSheetId="6">'Q_Appendix B. Project Info'!$F$15</definedName>
    <definedName name="Closeout">'Appendix B. Project Information'!$F$15</definedName>
    <definedName name="Date" localSheetId="9">'Q_Appendix B. Project Info'!$C$13</definedName>
    <definedName name="Date" localSheetId="36">'Q_Appendix B. Project Info'!$C$13</definedName>
    <definedName name="Date" localSheetId="38">'Q_Appendix B. Project Info'!$C$13</definedName>
    <definedName name="Date" localSheetId="40">'Q_Appendix B. Project Info'!$C$13</definedName>
    <definedName name="Date" localSheetId="10">'Q_Appendix B. Project Info'!$C$13</definedName>
    <definedName name="Date" localSheetId="13">'Q_Appendix B. Project Info'!$C$13</definedName>
    <definedName name="Date" localSheetId="14">'Q_Appendix B. Project Info'!$C$13</definedName>
    <definedName name="Date" localSheetId="19">'Q_Appendix B. Project Info'!$C$13</definedName>
    <definedName name="Date" localSheetId="20">'Q_Appendix B. Project Info'!$C$13</definedName>
    <definedName name="Date" localSheetId="21">'Q_Appendix B. Project Info'!$C$13</definedName>
    <definedName name="Date" localSheetId="34">'Q_Appendix B. Project Info'!$C$13</definedName>
    <definedName name="Date" localSheetId="42">'Q_Appendix B. Project Info'!$C$13</definedName>
    <definedName name="Date" localSheetId="44">'Q_Appendix B. Project Info'!$C$13</definedName>
    <definedName name="Date" localSheetId="4">'Q_Appendix B. Project Info'!$C$13</definedName>
    <definedName name="Date" localSheetId="6">'Q_Appendix B. Project Info'!$C$13</definedName>
    <definedName name="Date">'Appendix B. Project Information'!$C$13</definedName>
    <definedName name="DelayChange_NB" localSheetId="9">'Q_3. Travel Time Benefits'!$G$27</definedName>
    <definedName name="DelayChange_NB" localSheetId="36">'Q_3. Travel Time Benefits'!$G$27</definedName>
    <definedName name="DelayChange_NB" localSheetId="38">'Q_3. Travel Time Benefits'!$G$27</definedName>
    <definedName name="DelayChange_NB" localSheetId="40">'Q_3. Travel Time Benefits'!$G$27</definedName>
    <definedName name="DelayChange_NB" localSheetId="10">'Q_3. Travel Time Benefits'!$G$27</definedName>
    <definedName name="DelayChange_NB" localSheetId="13">'Q_3. Travel Time Benefits'!$G$27</definedName>
    <definedName name="DelayChange_NB" localSheetId="14">'Q_3. Travel Time Benefits'!$G$27</definedName>
    <definedName name="DelayChange_NB" localSheetId="19">'Q_3. Travel Time Benefits'!$G$27</definedName>
    <definedName name="DelayChange_NB" localSheetId="20">'Q_3. Travel Time Benefits'!$G$27</definedName>
    <definedName name="DelayChange_NB" localSheetId="21">'Q_3. Travel Time Benefits'!$G$27</definedName>
    <definedName name="DelayChange_NB" localSheetId="34">'Q_3. Travel Time Benefits'!$G$27</definedName>
    <definedName name="DelayChange_NB" localSheetId="42">'Q_3. Travel Time Benefits'!$G$27</definedName>
    <definedName name="DelayChange_NB" localSheetId="44">'Q_3. Travel Time Benefits'!$G$27</definedName>
    <definedName name="DelayChange_NB" localSheetId="4">'Q_3. Travel Time Benefits'!$G$27</definedName>
    <definedName name="DelayChange_NB" localSheetId="6">'Q_3. Travel Time Benefits'!$G$27</definedName>
    <definedName name="DelayChange_NB">'MM_3. Travel Time Benefits'!$G$27</definedName>
    <definedName name="DelayChange_PA" localSheetId="9">'Q_3. Travel Time Benefits'!$G$28</definedName>
    <definedName name="DelayChange_PA" localSheetId="36">'Q_3. Travel Time Benefits'!$G$28</definedName>
    <definedName name="DelayChange_PA" localSheetId="38">'Q_3. Travel Time Benefits'!$G$28</definedName>
    <definedName name="DelayChange_PA" localSheetId="40">'Q_3. Travel Time Benefits'!$G$28</definedName>
    <definedName name="DelayChange_PA" localSheetId="10">'Q_3. Travel Time Benefits'!$G$28</definedName>
    <definedName name="DelayChange_PA" localSheetId="13">'Q_3. Travel Time Benefits'!$G$28</definedName>
    <definedName name="DelayChange_PA" localSheetId="14">'Q_3. Travel Time Benefits'!$G$28</definedName>
    <definedName name="DelayChange_PA" localSheetId="19">'Q_3. Travel Time Benefits'!$G$28</definedName>
    <definedName name="DelayChange_PA" localSheetId="20">'Q_3. Travel Time Benefits'!$G$28</definedName>
    <definedName name="DelayChange_PA" localSheetId="21">'Q_3. Travel Time Benefits'!$G$28</definedName>
    <definedName name="DelayChange_PA" localSheetId="34">'Q_3. Travel Time Benefits'!$G$28</definedName>
    <definedName name="DelayChange_PA" localSheetId="42">'Q_3. Travel Time Benefits'!$G$28</definedName>
    <definedName name="DelayChange_PA" localSheetId="44">'Q_3. Travel Time Benefits'!$G$28</definedName>
    <definedName name="DelayChange_PA" localSheetId="4">'Q_3. Travel Time Benefits'!$G$28</definedName>
    <definedName name="DelayChange_PA" localSheetId="6">'Q_3. Travel Time Benefits'!$G$28</definedName>
    <definedName name="DelayChange_PA">'MM_3. Travel Time Benefits'!$G$28</definedName>
    <definedName name="DelayTot_27NB" localSheetId="26">Table3B.3_27TTS_NB[[#Totals],[Total Delay (hr)]]</definedName>
    <definedName name="DelayTot_27NB" localSheetId="28">Table3B.3_27TTS_NB[[#Totals],[Total Delay (hr)]]</definedName>
    <definedName name="DelayTot_27NB" localSheetId="30">Table3B.3_27TTS_NB[[#Totals],[Total Delay (hr)]]</definedName>
    <definedName name="DelayTot_27NB" localSheetId="31">Table3B.3_27TTS_NB[[#Totals],[Total Delay (hr)]]</definedName>
    <definedName name="DelayTot_27NB" localSheetId="0">Table3B.3_27TTS_NB[[#Totals],[Total Delay (hr)]]</definedName>
    <definedName name="DelayTot_27NB" localSheetId="1">Table3B.3_27TTS_NB[[#Totals],[Total Delay (hr)]]</definedName>
    <definedName name="DelayTot_27NB" localSheetId="39">Table3B.3_27TTS_NB[[#Totals],[Total Delay (hr)]]</definedName>
    <definedName name="DelayTot_27NB" localSheetId="9">Table3B.3_27TTS_NB100[[#Totals],[Total Delay (hr)]]</definedName>
    <definedName name="DelayTot_27NB" localSheetId="36">Table3B.3_27TTS_NB100[[#Totals],[Total Delay (hr)]]</definedName>
    <definedName name="DelayTot_27NB" localSheetId="38">Table3B.3_27TTS_NB100[[#Totals],[Total Delay (hr)]]</definedName>
    <definedName name="DelayTot_27NB" localSheetId="40">Table3B.3_27TTS_NB100[[#Totals],[Total Delay (hr)]]</definedName>
    <definedName name="DelayTot_27NB" localSheetId="10">Table3B.3_27TTS_NB100[[#Totals],[Total Delay (hr)]]</definedName>
    <definedName name="DelayTot_27NB" localSheetId="13">Table3B.3_27TTS_NB100[[#Totals],[Total Delay (hr)]]</definedName>
    <definedName name="DelayTot_27NB" localSheetId="14">Table3B.3_27TTS_NB100[[#Totals],[Total Delay (hr)]]</definedName>
    <definedName name="DelayTot_27NB" localSheetId="19">Table3B.3_27TTS_NB100[[#Totals],[Total Delay (hr)]]</definedName>
    <definedName name="DelayTot_27NB" localSheetId="20">Table3B.3_27TTS_NB100[[#Totals],[Total Delay (hr)]]</definedName>
    <definedName name="DelayTot_27NB" localSheetId="21">Table3B.3_27TTS_NB100[[#Totals],[Total Delay (hr)]]</definedName>
    <definedName name="DelayTot_27NB" localSheetId="34">Table3B.3_27TTS_NB100[[#Totals],[Total Delay (hr)]]</definedName>
    <definedName name="DelayTot_27NB" localSheetId="42">Table3B.3_27TTS_NB100[[#Totals],[Total Delay (hr)]]</definedName>
    <definedName name="DelayTot_27NB" localSheetId="44">Table3B.3_27TTS_NB100[[#Totals],[Total Delay (hr)]]</definedName>
    <definedName name="DelayTot_27NB" localSheetId="4">Table3B.3_27TTS_NB100[[#Totals],[Total Delay (hr)]]</definedName>
    <definedName name="DelayTot_27NB" localSheetId="6">Table3B.3_27TTS_NB100[[#Totals],[Total Delay (hr)]]</definedName>
    <definedName name="DelayTot_27NB">Table3B.3_27TTS_NB[[#Totals],[Total Delay (hr)]]</definedName>
    <definedName name="DelayTot_27PA" localSheetId="26">Table3B.5_27TTS_PA[[#Totals],[Total Delay: All Vehicles (hr)]]</definedName>
    <definedName name="DelayTot_27PA" localSheetId="28">Table3B.5_27TTS_PA[[#Totals],[Total Delay: All Vehicles (hr)]]</definedName>
    <definedName name="DelayTot_27PA" localSheetId="30">Table3B.5_27TTS_PA[[#Totals],[Total Delay: All Vehicles (hr)]]</definedName>
    <definedName name="DelayTot_27PA" localSheetId="31">Table3B.5_27TTS_PA[[#Totals],[Total Delay: All Vehicles (hr)]]</definedName>
    <definedName name="DelayTot_27PA" localSheetId="0">Table3B.5_27TTS_PA[[#Totals],[Total Delay: All Vehicles (hr)]]</definedName>
    <definedName name="DelayTot_27PA" localSheetId="1">Table3B.5_27TTS_PA[[#Totals],[Total Delay: All Vehicles (hr)]]</definedName>
    <definedName name="DelayTot_27PA" localSheetId="39">Table3B.5_27TTS_PA[[#Totals],[Total Delay: All Vehicles (hr)]]</definedName>
    <definedName name="DelayTot_27PA" localSheetId="9">Table3B.5_27TTS_PA101[[#Totals],[Total Delay: All Vehicles (hr)]]</definedName>
    <definedName name="DelayTot_27PA" localSheetId="36">Table3B.5_27TTS_PA101[[#Totals],[Total Delay: All Vehicles (hr)]]</definedName>
    <definedName name="DelayTot_27PA" localSheetId="38">Table3B.5_27TTS_PA101[[#Totals],[Total Delay: All Vehicles (hr)]]</definedName>
    <definedName name="DelayTot_27PA" localSheetId="40">Table3B.5_27TTS_PA101[[#Totals],[Total Delay: All Vehicles (hr)]]</definedName>
    <definedName name="DelayTot_27PA" localSheetId="10">Table3B.5_27TTS_PA101[[#Totals],[Total Delay: All Vehicles (hr)]]</definedName>
    <definedName name="DelayTot_27PA" localSheetId="13">Table3B.5_27TTS_PA101[[#Totals],[Total Delay: All Vehicles (hr)]]</definedName>
    <definedName name="DelayTot_27PA" localSheetId="14">Table3B.5_27TTS_PA101[[#Totals],[Total Delay: All Vehicles (hr)]]</definedName>
    <definedName name="DelayTot_27PA" localSheetId="19">Table3B.5_27TTS_PA101[[#Totals],[Total Delay: All Vehicles (hr)]]</definedName>
    <definedName name="DelayTot_27PA" localSheetId="20">Table3B.5_27TTS_PA101[[#Totals],[Total Delay: All Vehicles (hr)]]</definedName>
    <definedName name="DelayTot_27PA" localSheetId="21">Table3B.5_27TTS_PA101[[#Totals],[Total Delay: All Vehicles (hr)]]</definedName>
    <definedName name="DelayTot_27PA" localSheetId="34">Table3B.5_27TTS_PA101[[#Totals],[Total Delay: All Vehicles (hr)]]</definedName>
    <definedName name="DelayTot_27PA" localSheetId="42">Table3B.5_27TTS_PA101[[#Totals],[Total Delay: All Vehicles (hr)]]</definedName>
    <definedName name="DelayTot_27PA" localSheetId="44">Table3B.5_27TTS_PA101[[#Totals],[Total Delay: All Vehicles (hr)]]</definedName>
    <definedName name="DelayTot_27PA" localSheetId="4">Table3B.5_27TTS_PA101[[#Totals],[Total Delay: All Vehicles (hr)]]</definedName>
    <definedName name="DelayTot_27PA" localSheetId="6">Table3B.5_27TTS_PA101[[#Totals],[Total Delay: All Vehicles (hr)]]</definedName>
    <definedName name="DelayTot_27PA">Table3B.5_27TTS_PA[[#Totals],[Total Delay: All Vehicles (hr)]]</definedName>
    <definedName name="DelayTotChange_NB" localSheetId="26">(Table3C.1_57TTS_NB[[#Totals],[Total Delay (hr)]]-Table3B.3_27TTS_NB[[#Totals],[Total Delay (hr)]])/30</definedName>
    <definedName name="DelayTotChange_NB" localSheetId="28">(Table3C.1_57TTS_NB[[#Totals],[Total Delay (hr)]]-Table3B.3_27TTS_NB[[#Totals],[Total Delay (hr)]])/30</definedName>
    <definedName name="DelayTotChange_NB" localSheetId="30">(Table3C.1_57TTS_NB[[#Totals],[Total Delay (hr)]]-Table3B.3_27TTS_NB[[#Totals],[Total Delay (hr)]])/30</definedName>
    <definedName name="DelayTotChange_NB" localSheetId="31">(Table3C.1_57TTS_NB[[#Totals],[Total Delay (hr)]]-Table3B.3_27TTS_NB[[#Totals],[Total Delay (hr)]])/30</definedName>
    <definedName name="DelayTotChange_NB" localSheetId="0">(Table3C.1_57TTS_NB[[#Totals],[Total Delay (hr)]]-Table3B.3_27TTS_NB[[#Totals],[Total Delay (hr)]])/30</definedName>
    <definedName name="DelayTotChange_NB" localSheetId="1">(Table3C.1_57TTS_NB[[#Totals],[Total Delay (hr)]]-Table3B.3_27TTS_NB[[#Totals],[Total Delay (hr)]])/30</definedName>
    <definedName name="DelayTotChange_NB" localSheetId="39">(Table3C.1_57TTS_NB[[#Totals],[Total Delay (hr)]]-Table3B.3_27TTS_NB[[#Totals],[Total Delay (hr)]])/30</definedName>
    <definedName name="DelayTotChange_NB" localSheetId="9">(Table3C.1_57TTS_NB105[[#Totals],[Total Delay (hr)]]-Table3B.3_27TTS_NB100[[#Totals],[Total Delay (hr)]])/30</definedName>
    <definedName name="DelayTotChange_NB" localSheetId="36">(Table3C.1_57TTS_NB105[[#Totals],[Total Delay (hr)]]-Table3B.3_27TTS_NB100[[#Totals],[Total Delay (hr)]])/30</definedName>
    <definedName name="DelayTotChange_NB" localSheetId="38">(Table3C.1_57TTS_NB105[[#Totals],[Total Delay (hr)]]-Table3B.3_27TTS_NB100[[#Totals],[Total Delay (hr)]])/30</definedName>
    <definedName name="DelayTotChange_NB" localSheetId="40">(Table3C.1_57TTS_NB105[[#Totals],[Total Delay (hr)]]-Table3B.3_27TTS_NB100[[#Totals],[Total Delay (hr)]])/30</definedName>
    <definedName name="DelayTotChange_NB" localSheetId="10">(Table3C.1_57TTS_NB105[[#Totals],[Total Delay (hr)]]-Table3B.3_27TTS_NB100[[#Totals],[Total Delay (hr)]])/30</definedName>
    <definedName name="DelayTotChange_NB" localSheetId="13">(Table3C.1_57TTS_NB105[[#Totals],[Total Delay (hr)]]-Table3B.3_27TTS_NB100[[#Totals],[Total Delay (hr)]])/30</definedName>
    <definedName name="DelayTotChange_NB" localSheetId="14">(Table3C.1_57TTS_NB105[[#Totals],[Total Delay (hr)]]-Table3B.3_27TTS_NB100[[#Totals],[Total Delay (hr)]])/30</definedName>
    <definedName name="DelayTotChange_NB" localSheetId="19">(Table3C.1_57TTS_NB105[[#Totals],[Total Delay (hr)]]-Table3B.3_27TTS_NB100[[#Totals],[Total Delay (hr)]])/30</definedName>
    <definedName name="DelayTotChange_NB" localSheetId="20">(Table3C.1_57TTS_NB105[[#Totals],[Total Delay (hr)]]-Table3B.3_27TTS_NB100[[#Totals],[Total Delay (hr)]])/30</definedName>
    <definedName name="DelayTotChange_NB" localSheetId="21">(Table3C.1_57TTS_NB105[[#Totals],[Total Delay (hr)]]-Table3B.3_27TTS_NB100[[#Totals],[Total Delay (hr)]])/30</definedName>
    <definedName name="DelayTotChange_NB" localSheetId="34">(Table3C.1_57TTS_NB105[[#Totals],[Total Delay (hr)]]-Table3B.3_27TTS_NB100[[#Totals],[Total Delay (hr)]])/30</definedName>
    <definedName name="DelayTotChange_NB" localSheetId="42">(Table3C.1_57TTS_NB105[[#Totals],[Total Delay (hr)]]-Table3B.3_27TTS_NB100[[#Totals],[Total Delay (hr)]])/30</definedName>
    <definedName name="DelayTotChange_NB" localSheetId="44">(Table3C.1_57TTS_NB105[[#Totals],[Total Delay (hr)]]-Table3B.3_27TTS_NB100[[#Totals],[Total Delay (hr)]])/30</definedName>
    <definedName name="DelayTotChange_NB" localSheetId="4">(Table3C.1_57TTS_NB105[[#Totals],[Total Delay (hr)]]-Table3B.3_27TTS_NB100[[#Totals],[Total Delay (hr)]])/30</definedName>
    <definedName name="DelayTotChange_NB" localSheetId="6">(Table3C.1_57TTS_NB105[[#Totals],[Total Delay (hr)]]-Table3B.3_27TTS_NB100[[#Totals],[Total Delay (hr)]])/30</definedName>
    <definedName name="DelayTotChange_NB">(Table3C.1_57TTS_NB[[#Totals],[Total Delay (hr)]]-Table3B.3_27TTS_NB[[#Totals],[Total Delay (hr)]])/30</definedName>
    <definedName name="DelayTotChange_PA" localSheetId="26">(Table3C.3_57TTS_PA[[#Totals],[Total Delay: All Vehicles (hr)]]-Table3B.5_27TTS_PA[[#Totals],[Total Delay: All Vehicles (hr)]])/30</definedName>
    <definedName name="DelayTotChange_PA" localSheetId="28">(Table3C.3_57TTS_PA[[#Totals],[Total Delay: All Vehicles (hr)]]-Table3B.5_27TTS_PA[[#Totals],[Total Delay: All Vehicles (hr)]])/30</definedName>
    <definedName name="DelayTotChange_PA" localSheetId="30">(Table3C.3_57TTS_PA[[#Totals],[Total Delay: All Vehicles (hr)]]-Table3B.5_27TTS_PA[[#Totals],[Total Delay: All Vehicles (hr)]])/30</definedName>
    <definedName name="DelayTotChange_PA" localSheetId="31">(Table3C.3_57TTS_PA[[#Totals],[Total Delay: All Vehicles (hr)]]-Table3B.5_27TTS_PA[[#Totals],[Total Delay: All Vehicles (hr)]])/30</definedName>
    <definedName name="DelayTotChange_PA" localSheetId="0">(Table3C.3_57TTS_PA[[#Totals],[Total Delay: All Vehicles (hr)]]-Table3B.5_27TTS_PA[[#Totals],[Total Delay: All Vehicles (hr)]])/30</definedName>
    <definedName name="DelayTotChange_PA" localSheetId="1">(Table3C.3_57TTS_PA[[#Totals],[Total Delay: All Vehicles (hr)]]-Table3B.5_27TTS_PA[[#Totals],[Total Delay: All Vehicles (hr)]])/30</definedName>
    <definedName name="DelayTotChange_PA" localSheetId="39">(Table3C.3_57TTS_PA[[#Totals],[Total Delay: All Vehicles (hr)]]-Table3B.5_27TTS_PA[[#Totals],[Total Delay: All Vehicles (hr)]])/30</definedName>
    <definedName name="DelayTotChange_PA" localSheetId="9">(Table3C.3_57TTS_PA106[[#Totals],[Total Delay: All Vehicles (hr)]]-Table3B.5_27TTS_PA101[[#Totals],[Total Delay: All Vehicles (hr)]])/30</definedName>
    <definedName name="DelayTotChange_PA" localSheetId="36">(Table3C.3_57TTS_PA106[[#Totals],[Total Delay: All Vehicles (hr)]]-Table3B.5_27TTS_PA101[[#Totals],[Total Delay: All Vehicles (hr)]])/30</definedName>
    <definedName name="DelayTotChange_PA" localSheetId="38">(Table3C.3_57TTS_PA106[[#Totals],[Total Delay: All Vehicles (hr)]]-Table3B.5_27TTS_PA101[[#Totals],[Total Delay: All Vehicles (hr)]])/30</definedName>
    <definedName name="DelayTotChange_PA" localSheetId="40">(Table3C.3_57TTS_PA106[[#Totals],[Total Delay: All Vehicles (hr)]]-Table3B.5_27TTS_PA101[[#Totals],[Total Delay: All Vehicles (hr)]])/30</definedName>
    <definedName name="DelayTotChange_PA" localSheetId="10">(Table3C.3_57TTS_PA106[[#Totals],[Total Delay: All Vehicles (hr)]]-Table3B.5_27TTS_PA101[[#Totals],[Total Delay: All Vehicles (hr)]])/30</definedName>
    <definedName name="DelayTotChange_PA" localSheetId="13">(Table3C.3_57TTS_PA106[[#Totals],[Total Delay: All Vehicles (hr)]]-Table3B.5_27TTS_PA101[[#Totals],[Total Delay: All Vehicles (hr)]])/30</definedName>
    <definedName name="DelayTotChange_PA" localSheetId="14">(Table3C.3_57TTS_PA106[[#Totals],[Total Delay: All Vehicles (hr)]]-Table3B.5_27TTS_PA101[[#Totals],[Total Delay: All Vehicles (hr)]])/30</definedName>
    <definedName name="DelayTotChange_PA" localSheetId="19">(Table3C.3_57TTS_PA106[[#Totals],[Total Delay: All Vehicles (hr)]]-Table3B.5_27TTS_PA101[[#Totals],[Total Delay: All Vehicles (hr)]])/30</definedName>
    <definedName name="DelayTotChange_PA" localSheetId="20">(Table3C.3_57TTS_PA106[[#Totals],[Total Delay: All Vehicles (hr)]]-Table3B.5_27TTS_PA101[[#Totals],[Total Delay: All Vehicles (hr)]])/30</definedName>
    <definedName name="DelayTotChange_PA" localSheetId="21">(Table3C.3_57TTS_PA106[[#Totals],[Total Delay: All Vehicles (hr)]]-Table3B.5_27TTS_PA101[[#Totals],[Total Delay: All Vehicles (hr)]])/30</definedName>
    <definedName name="DelayTotChange_PA" localSheetId="34">(Table3C.3_57TTS_PA106[[#Totals],[Total Delay: All Vehicles (hr)]]-Table3B.5_27TTS_PA101[[#Totals],[Total Delay: All Vehicles (hr)]])/30</definedName>
    <definedName name="DelayTotChange_PA" localSheetId="42">(Table3C.3_57TTS_PA106[[#Totals],[Total Delay: All Vehicles (hr)]]-Table3B.5_27TTS_PA101[[#Totals],[Total Delay: All Vehicles (hr)]])/30</definedName>
    <definedName name="DelayTotChange_PA" localSheetId="44">(Table3C.3_57TTS_PA106[[#Totals],[Total Delay: All Vehicles (hr)]]-Table3B.5_27TTS_PA101[[#Totals],[Total Delay: All Vehicles (hr)]])/30</definedName>
    <definedName name="DelayTotChange_PA" localSheetId="4">(Table3C.3_57TTS_PA106[[#Totals],[Total Delay: All Vehicles (hr)]]-Table3B.5_27TTS_PA101[[#Totals],[Total Delay: All Vehicles (hr)]])/30</definedName>
    <definedName name="DelayTotChange_PA" localSheetId="6">(Table3C.3_57TTS_PA106[[#Totals],[Total Delay: All Vehicles (hr)]]-Table3B.5_27TTS_PA101[[#Totals],[Total Delay: All Vehicles (hr)]])/30</definedName>
    <definedName name="DelayTotChange_PA">(Table3C.3_57TTS_PA[[#Totals],[Total Delay: All Vehicles (hr)]]-Table3B.5_27TTS_PA[[#Totals],[Total Delay: All Vehicles (hr)]])/30</definedName>
    <definedName name="First_Year" localSheetId="9">'Q_Appendix B. Project Info'!$C$14</definedName>
    <definedName name="First_Year" localSheetId="36">'Q_Appendix B. Project Info'!$C$14</definedName>
    <definedName name="First_Year" localSheetId="38">'Q_Appendix B. Project Info'!$C$14</definedName>
    <definedName name="First_Year" localSheetId="40">'Q_Appendix B. Project Info'!$C$14</definedName>
    <definedName name="First_Year" localSheetId="10">'Q_Appendix B. Project Info'!$C$14</definedName>
    <definedName name="First_Year" localSheetId="13">'Q_Appendix B. Project Info'!$C$14</definedName>
    <definedName name="First_Year" localSheetId="14">'Q_Appendix B. Project Info'!$C$14</definedName>
    <definedName name="First_Year" localSheetId="19">'Q_Appendix B. Project Info'!$C$14</definedName>
    <definedName name="First_Year" localSheetId="20">'Q_Appendix B. Project Info'!$C$14</definedName>
    <definedName name="First_Year" localSheetId="21">'Q_Appendix B. Project Info'!$C$14</definedName>
    <definedName name="First_Year" localSheetId="34">'Q_Appendix B. Project Info'!$C$14</definedName>
    <definedName name="First_Year" localSheetId="42">'Q_Appendix B. Project Info'!$C$14</definedName>
    <definedName name="First_Year" localSheetId="44">'Q_Appendix B. Project Info'!$C$14</definedName>
    <definedName name="First_Year" localSheetId="4">'Q_Appendix B. Project Info'!$C$14</definedName>
    <definedName name="First_Year" localSheetId="6">'Q_Appendix B. Project Info'!$C$14</definedName>
    <definedName name="First_Year">'Appendix B. Project Information'!$C$14</definedName>
    <definedName name="Last_Year" localSheetId="9">'Q_Appendix B. Project Info'!$C$15</definedName>
    <definedName name="Last_Year" localSheetId="36">'Q_Appendix B. Project Info'!$C$15</definedName>
    <definedName name="Last_Year" localSheetId="38">'Q_Appendix B. Project Info'!$C$15</definedName>
    <definedName name="Last_Year" localSheetId="40">'Q_Appendix B. Project Info'!$C$15</definedName>
    <definedName name="Last_Year" localSheetId="10">'Q_Appendix B. Project Info'!$C$15</definedName>
    <definedName name="Last_Year" localSheetId="13">'Q_Appendix B. Project Info'!$C$15</definedName>
    <definedName name="Last_Year" localSheetId="14">'Q_Appendix B. Project Info'!$C$15</definedName>
    <definedName name="Last_Year" localSheetId="19">'Q_Appendix B. Project Info'!$C$15</definedName>
    <definedName name="Last_Year" localSheetId="20">'Q_Appendix B. Project Info'!$C$15</definedName>
    <definedName name="Last_Year" localSheetId="21">'Q_Appendix B. Project Info'!$C$15</definedName>
    <definedName name="Last_Year" localSheetId="34">'Q_Appendix B. Project Info'!$C$15</definedName>
    <definedName name="Last_Year" localSheetId="42">'Q_Appendix B. Project Info'!$C$15</definedName>
    <definedName name="Last_Year" localSheetId="44">'Q_Appendix B. Project Info'!$C$15</definedName>
    <definedName name="Last_Year" localSheetId="4">'Q_Appendix B. Project Info'!$C$15</definedName>
    <definedName name="Last_Year" localSheetId="6">'Q_Appendix B. Project Info'!$C$15</definedName>
    <definedName name="Last_Year">'Appendix B. Project Information'!$C$15</definedName>
    <definedName name="MPH_27NB" localSheetId="26">Table3B.3_27TTS_NB[[#Totals],[Average Speed (mph)]]</definedName>
    <definedName name="MPH_27NB" localSheetId="28">Table3B.3_27TTS_NB[[#Totals],[Average Speed (mph)]]</definedName>
    <definedName name="MPH_27NB" localSheetId="30">Table3B.3_27TTS_NB[[#Totals],[Average Speed (mph)]]</definedName>
    <definedName name="MPH_27NB" localSheetId="31">Table3B.3_27TTS_NB[[#Totals],[Average Speed (mph)]]</definedName>
    <definedName name="MPH_27NB" localSheetId="0">Table3B.3_27TTS_NB[[#Totals],[Average Speed (mph)]]</definedName>
    <definedName name="MPH_27NB" localSheetId="1">Table3B.3_27TTS_NB[[#Totals],[Average Speed (mph)]]</definedName>
    <definedName name="MPH_27NB" localSheetId="39">Table3B.3_27TTS_NB[[#Totals],[Average Speed (mph)]]</definedName>
    <definedName name="MPH_27NB" localSheetId="9">Table3B.3_27TTS_NB100[[#Totals],[Average Speed (mph)]]</definedName>
    <definedName name="MPH_27NB" localSheetId="36">Table3B.3_27TTS_NB100[[#Totals],[Average Speed (mph)]]</definedName>
    <definedName name="MPH_27NB" localSheetId="38">Table3B.3_27TTS_NB100[[#Totals],[Average Speed (mph)]]</definedName>
    <definedName name="MPH_27NB" localSheetId="40">Table3B.3_27TTS_NB100[[#Totals],[Average Speed (mph)]]</definedName>
    <definedName name="MPH_27NB" localSheetId="10">Table3B.3_27TTS_NB100[[#Totals],[Average Speed (mph)]]</definedName>
    <definedName name="MPH_27NB" localSheetId="13">Table3B.3_27TTS_NB100[[#Totals],[Average Speed (mph)]]</definedName>
    <definedName name="MPH_27NB" localSheetId="14">Table3B.3_27TTS_NB100[[#Totals],[Average Speed (mph)]]</definedName>
    <definedName name="MPH_27NB" localSheetId="19">Table3B.3_27TTS_NB100[[#Totals],[Average Speed (mph)]]</definedName>
    <definedName name="MPH_27NB" localSheetId="20">Table3B.3_27TTS_NB100[[#Totals],[Average Speed (mph)]]</definedName>
    <definedName name="MPH_27NB" localSheetId="21">Table3B.3_27TTS_NB100[[#Totals],[Average Speed (mph)]]</definedName>
    <definedName name="MPH_27NB" localSheetId="34">Table3B.3_27TTS_NB100[[#Totals],[Average Speed (mph)]]</definedName>
    <definedName name="MPH_27NB" localSheetId="42">Table3B.3_27TTS_NB100[[#Totals],[Average Speed (mph)]]</definedName>
    <definedName name="MPH_27NB" localSheetId="44">Table3B.3_27TTS_NB100[[#Totals],[Average Speed (mph)]]</definedName>
    <definedName name="MPH_27NB" localSheetId="4">Table3B.3_27TTS_NB100[[#Totals],[Average Speed (mph)]]</definedName>
    <definedName name="MPH_27NB" localSheetId="6">Table3B.3_27TTS_NB100[[#Totals],[Average Speed (mph)]]</definedName>
    <definedName name="MPH_27NB">Table3B.3_27TTS_NB[[#Totals],[Average Speed (mph)]]</definedName>
    <definedName name="MPH_27PA" localSheetId="26">Table3B.5_27TTS_PA[[#Totals],[Average Speed (mph)]]</definedName>
    <definedName name="MPH_27PA" localSheetId="28">Table3B.5_27TTS_PA[[#Totals],[Average Speed (mph)]]</definedName>
    <definedName name="MPH_27PA" localSheetId="30">Table3B.5_27TTS_PA[[#Totals],[Average Speed (mph)]]</definedName>
    <definedName name="MPH_27PA" localSheetId="31">Table3B.5_27TTS_PA[[#Totals],[Average Speed (mph)]]</definedName>
    <definedName name="MPH_27PA" localSheetId="0">Table3B.5_27TTS_PA[[#Totals],[Average Speed (mph)]]</definedName>
    <definedName name="MPH_27PA" localSheetId="1">Table3B.5_27TTS_PA[[#Totals],[Average Speed (mph)]]</definedName>
    <definedName name="MPH_27PA" localSheetId="39">Table3B.5_27TTS_PA[[#Totals],[Average Speed (mph)]]</definedName>
    <definedName name="MPH_27PA" localSheetId="9">Table3B.5_27TTS_PA101[[#Totals],[Average Speed (mph)]]</definedName>
    <definedName name="MPH_27PA" localSheetId="36">Table3B.5_27TTS_PA101[[#Totals],[Average Speed (mph)]]</definedName>
    <definedName name="MPH_27PA" localSheetId="38">Table3B.5_27TTS_PA101[[#Totals],[Average Speed (mph)]]</definedName>
    <definedName name="MPH_27PA" localSheetId="40">Table3B.5_27TTS_PA101[[#Totals],[Average Speed (mph)]]</definedName>
    <definedName name="MPH_27PA" localSheetId="10">Table3B.5_27TTS_PA101[[#Totals],[Average Speed (mph)]]</definedName>
    <definedName name="MPH_27PA" localSheetId="13">Table3B.5_27TTS_PA101[[#Totals],[Average Speed (mph)]]</definedName>
    <definedName name="MPH_27PA" localSheetId="14">Table3B.5_27TTS_PA101[[#Totals],[Average Speed (mph)]]</definedName>
    <definedName name="MPH_27PA" localSheetId="19">Table3B.5_27TTS_PA101[[#Totals],[Average Speed (mph)]]</definedName>
    <definedName name="MPH_27PA" localSheetId="20">Table3B.5_27TTS_PA101[[#Totals],[Average Speed (mph)]]</definedName>
    <definedName name="MPH_27PA" localSheetId="21">Table3B.5_27TTS_PA101[[#Totals],[Average Speed (mph)]]</definedName>
    <definedName name="MPH_27PA" localSheetId="34">Table3B.5_27TTS_PA101[[#Totals],[Average Speed (mph)]]</definedName>
    <definedName name="MPH_27PA" localSheetId="42">Table3B.5_27TTS_PA101[[#Totals],[Average Speed (mph)]]</definedName>
    <definedName name="MPH_27PA" localSheetId="44">Table3B.5_27TTS_PA101[[#Totals],[Average Speed (mph)]]</definedName>
    <definedName name="MPH_27PA" localSheetId="4">Table3B.5_27TTS_PA101[[#Totals],[Average Speed (mph)]]</definedName>
    <definedName name="MPH_27PA" localSheetId="6">Table3B.5_27TTS_PA101[[#Totals],[Average Speed (mph)]]</definedName>
    <definedName name="MPH_27PA">Table3B.5_27TTS_PA[[#Totals],[Average Speed (mph)]]</definedName>
    <definedName name="MPH_57NB" localSheetId="26">Table3C.1_57TTS_NB[[#Totals],[Average Speed (mph)]]</definedName>
    <definedName name="MPH_57NB" localSheetId="28">Table3C.1_57TTS_NB[[#Totals],[Average Speed (mph)]]</definedName>
    <definedName name="MPH_57NB" localSheetId="30">Table3C.1_57TTS_NB[[#Totals],[Average Speed (mph)]]</definedName>
    <definedName name="MPH_57NB" localSheetId="31">Table3C.1_57TTS_NB[[#Totals],[Average Speed (mph)]]</definedName>
    <definedName name="MPH_57NB" localSheetId="0">Table3C.1_57TTS_NB[[#Totals],[Average Speed (mph)]]</definedName>
    <definedName name="MPH_57NB" localSheetId="1">Table3C.1_57TTS_NB[[#Totals],[Average Speed (mph)]]</definedName>
    <definedName name="MPH_57NB" localSheetId="39">Table3C.1_57TTS_NB[[#Totals],[Average Speed (mph)]]</definedName>
    <definedName name="MPH_57NB" localSheetId="9">Table3C.1_57TTS_NB105[[#Totals],[Average Speed (mph)]]</definedName>
    <definedName name="MPH_57NB" localSheetId="36">Table3C.1_57TTS_NB105[[#Totals],[Average Speed (mph)]]</definedName>
    <definedName name="MPH_57NB" localSheetId="38">Table3C.1_57TTS_NB105[[#Totals],[Average Speed (mph)]]</definedName>
    <definedName name="MPH_57NB" localSheetId="40">Table3C.1_57TTS_NB105[[#Totals],[Average Speed (mph)]]</definedName>
    <definedName name="MPH_57NB" localSheetId="10">Table3C.1_57TTS_NB105[[#Totals],[Average Speed (mph)]]</definedName>
    <definedName name="MPH_57NB" localSheetId="13">Table3C.1_57TTS_NB105[[#Totals],[Average Speed (mph)]]</definedName>
    <definedName name="MPH_57NB" localSheetId="14">Table3C.1_57TTS_NB105[[#Totals],[Average Speed (mph)]]</definedName>
    <definedName name="MPH_57NB" localSheetId="19">Table3C.1_57TTS_NB105[[#Totals],[Average Speed (mph)]]</definedName>
    <definedName name="MPH_57NB" localSheetId="20">Table3C.1_57TTS_NB105[[#Totals],[Average Speed (mph)]]</definedName>
    <definedName name="MPH_57NB" localSheetId="21">Table3C.1_57TTS_NB105[[#Totals],[Average Speed (mph)]]</definedName>
    <definedName name="MPH_57NB" localSheetId="34">Table3C.1_57TTS_NB105[[#Totals],[Average Speed (mph)]]</definedName>
    <definedName name="MPH_57NB" localSheetId="42">Table3C.1_57TTS_NB105[[#Totals],[Average Speed (mph)]]</definedName>
    <definedName name="MPH_57NB" localSheetId="44">Table3C.1_57TTS_NB105[[#Totals],[Average Speed (mph)]]</definedName>
    <definedName name="MPH_57NB" localSheetId="4">Table3C.1_57TTS_NB105[[#Totals],[Average Speed (mph)]]</definedName>
    <definedName name="MPH_57NB" localSheetId="6">Table3C.1_57TTS_NB105[[#Totals],[Average Speed (mph)]]</definedName>
    <definedName name="MPH_57NB">Table3C.1_57TTS_NB[[#Totals],[Average Speed (mph)]]</definedName>
    <definedName name="MPH_57PA" localSheetId="26">Table3C.3_57TTS_PA[[#Totals],[Average Speed (mph)]]</definedName>
    <definedName name="MPH_57PA" localSheetId="28">Table3C.3_57TTS_PA[[#Totals],[Average Speed (mph)]]</definedName>
    <definedName name="MPH_57PA" localSheetId="30">Table3C.3_57TTS_PA[[#Totals],[Average Speed (mph)]]</definedName>
    <definedName name="MPH_57PA" localSheetId="31">Table3C.3_57TTS_PA[[#Totals],[Average Speed (mph)]]</definedName>
    <definedName name="MPH_57PA" localSheetId="0">Table3C.3_57TTS_PA[[#Totals],[Average Speed (mph)]]</definedName>
    <definedName name="MPH_57PA" localSheetId="1">Table3C.3_57TTS_PA[[#Totals],[Average Speed (mph)]]</definedName>
    <definedName name="MPH_57PA" localSheetId="39">Table3C.3_57TTS_PA[[#Totals],[Average Speed (mph)]]</definedName>
    <definedName name="MPH_57PA" localSheetId="9">Table3C.3_57TTS_PA106[[#Totals],[Average Speed (mph)]]</definedName>
    <definedName name="MPH_57PA" localSheetId="36">Table3C.3_57TTS_PA106[[#Totals],[Average Speed (mph)]]</definedName>
    <definedName name="MPH_57PA" localSheetId="38">Table3C.3_57TTS_PA106[[#Totals],[Average Speed (mph)]]</definedName>
    <definedName name="MPH_57PA" localSheetId="40">Table3C.3_57TTS_PA106[[#Totals],[Average Speed (mph)]]</definedName>
    <definedName name="MPH_57PA" localSheetId="10">Table3C.3_57TTS_PA106[[#Totals],[Average Speed (mph)]]</definedName>
    <definedName name="MPH_57PA" localSheetId="13">Table3C.3_57TTS_PA106[[#Totals],[Average Speed (mph)]]</definedName>
    <definedName name="MPH_57PA" localSheetId="14">Table3C.3_57TTS_PA106[[#Totals],[Average Speed (mph)]]</definedName>
    <definedName name="MPH_57PA" localSheetId="19">Table3C.3_57TTS_PA106[[#Totals],[Average Speed (mph)]]</definedName>
    <definedName name="MPH_57PA" localSheetId="20">Table3C.3_57TTS_PA106[[#Totals],[Average Speed (mph)]]</definedName>
    <definedName name="MPH_57PA" localSheetId="21">Table3C.3_57TTS_PA106[[#Totals],[Average Speed (mph)]]</definedName>
    <definedName name="MPH_57PA" localSheetId="34">Table3C.3_57TTS_PA106[[#Totals],[Average Speed (mph)]]</definedName>
    <definedName name="MPH_57PA" localSheetId="42">Table3C.3_57TTS_PA106[[#Totals],[Average Speed (mph)]]</definedName>
    <definedName name="MPH_57PA" localSheetId="44">Table3C.3_57TTS_PA106[[#Totals],[Average Speed (mph)]]</definedName>
    <definedName name="MPH_57PA" localSheetId="4">Table3C.3_57TTS_PA106[[#Totals],[Average Speed (mph)]]</definedName>
    <definedName name="MPH_57PA" localSheetId="6">Table3C.3_57TTS_PA106[[#Totals],[Average Speed (mph)]]</definedName>
    <definedName name="MPH_57PA">Table3C.3_57TTS_PA[[#Totals],[Average Speed (mph)]]</definedName>
    <definedName name="MPHChange_NB" localSheetId="9">'Q_3. Travel Time Benefits'!$F$27</definedName>
    <definedName name="MPHChange_NB" localSheetId="36">'Q_3. Travel Time Benefits'!$F$27</definedName>
    <definedName name="MPHChange_NB" localSheetId="38">'Q_3. Travel Time Benefits'!$F$27</definedName>
    <definedName name="MPHChange_NB" localSheetId="40">'Q_3. Travel Time Benefits'!$F$27</definedName>
    <definedName name="MPHChange_NB" localSheetId="10">'Q_3. Travel Time Benefits'!$F$27</definedName>
    <definedName name="MPHChange_NB" localSheetId="13">'Q_3. Travel Time Benefits'!$F$27</definedName>
    <definedName name="MPHChange_NB" localSheetId="14">'Q_3. Travel Time Benefits'!$F$27</definedName>
    <definedName name="MPHChange_NB" localSheetId="19">'Q_3. Travel Time Benefits'!$F$27</definedName>
    <definedName name="MPHChange_NB" localSheetId="20">'Q_3. Travel Time Benefits'!$F$27</definedName>
    <definedName name="MPHChange_NB" localSheetId="21">'Q_3. Travel Time Benefits'!$F$27</definedName>
    <definedName name="MPHChange_NB" localSheetId="34">'Q_3. Travel Time Benefits'!$F$27</definedName>
    <definedName name="MPHChange_NB" localSheetId="42">'Q_3. Travel Time Benefits'!$F$27</definedName>
    <definedName name="MPHChange_NB" localSheetId="44">'Q_3. Travel Time Benefits'!$F$27</definedName>
    <definedName name="MPHChange_NB" localSheetId="4">'Q_3. Travel Time Benefits'!$F$27</definedName>
    <definedName name="MPHChange_NB" localSheetId="6">'Q_3. Travel Time Benefits'!$F$27</definedName>
    <definedName name="MPHChange_NB">'MM_3. Travel Time Benefits'!$F$27</definedName>
    <definedName name="MPHChange_PA" localSheetId="9">'Q_3. Travel Time Benefits'!$F$28</definedName>
    <definedName name="MPHChange_PA" localSheetId="36">'Q_3. Travel Time Benefits'!$F$28</definedName>
    <definedName name="MPHChange_PA" localSheetId="38">'Q_3. Travel Time Benefits'!$F$28</definedName>
    <definedName name="MPHChange_PA" localSheetId="40">'Q_3. Travel Time Benefits'!$F$28</definedName>
    <definedName name="MPHChange_PA" localSheetId="10">'Q_3. Travel Time Benefits'!$F$28</definedName>
    <definedName name="MPHChange_PA" localSheetId="13">'Q_3. Travel Time Benefits'!$F$28</definedName>
    <definedName name="MPHChange_PA" localSheetId="14">'Q_3. Travel Time Benefits'!$F$28</definedName>
    <definedName name="MPHChange_PA" localSheetId="19">'Q_3. Travel Time Benefits'!$F$28</definedName>
    <definedName name="MPHChange_PA" localSheetId="20">'Q_3. Travel Time Benefits'!$F$28</definedName>
    <definedName name="MPHChange_PA" localSheetId="21">'Q_3. Travel Time Benefits'!$F$28</definedName>
    <definedName name="MPHChange_PA" localSheetId="34">'Q_3. Travel Time Benefits'!$F$28</definedName>
    <definedName name="MPHChange_PA" localSheetId="42">'Q_3. Travel Time Benefits'!$F$28</definedName>
    <definedName name="MPHChange_PA" localSheetId="44">'Q_3. Travel Time Benefits'!$F$28</definedName>
    <definedName name="MPHChange_PA" localSheetId="4">'Q_3. Travel Time Benefits'!$F$28</definedName>
    <definedName name="MPHChange_PA" localSheetId="6">'Q_3. Travel Time Benefits'!$F$28</definedName>
    <definedName name="MPHChange_PA">'MM_3. Travel Time Benefits'!$F$28</definedName>
    <definedName name="Passenger_Vehicles_Occupancy" localSheetId="9">'Q_Appendix A. Parameter Values'!$C$48</definedName>
    <definedName name="Passenger_Vehicles_Occupancy" localSheetId="36">'Q_Appendix A. Parameter Values'!$C$48</definedName>
    <definedName name="Passenger_Vehicles_Occupancy" localSheetId="38">'Q_Appendix A. Parameter Values'!$C$48</definedName>
    <definedName name="Passenger_Vehicles_Occupancy" localSheetId="40">'Q_Appendix A. Parameter Values'!$C$48</definedName>
    <definedName name="Passenger_Vehicles_Occupancy" localSheetId="10">'Q_Appendix A. Parameter Values'!$C$48</definedName>
    <definedName name="Passenger_Vehicles_Occupancy" localSheetId="13">'Q_Appendix A. Parameter Values'!$C$48</definedName>
    <definedName name="Passenger_Vehicles_Occupancy" localSheetId="14">'Q_Appendix A. Parameter Values'!$C$48</definedName>
    <definedName name="Passenger_Vehicles_Occupancy" localSheetId="19">'Q_Appendix A. Parameter Values'!$C$48</definedName>
    <definedName name="Passenger_Vehicles_Occupancy" localSheetId="20">'Q_Appendix A. Parameter Values'!$C$48</definedName>
    <definedName name="Passenger_Vehicles_Occupancy" localSheetId="21">'Q_Appendix A. Parameter Values'!$C$48</definedName>
    <definedName name="Passenger_Vehicles_Occupancy" localSheetId="34">'Q_Appendix A. Parameter Values'!$C$48</definedName>
    <definedName name="Passenger_Vehicles_Occupancy" localSheetId="42">'Q_Appendix A. Parameter Values'!$C$48</definedName>
    <definedName name="Passenger_Vehicles_Occupancy" localSheetId="44">'Q_Appendix A. Parameter Values'!$C$48</definedName>
    <definedName name="Passenger_Vehicles_Occupancy" localSheetId="4">'Q_Appendix A. Parameter Values'!$C$48</definedName>
    <definedName name="Passenger_Vehicles_Occupancy" localSheetId="6">'Q_Appendix A. Parameter Values'!$C$48</definedName>
    <definedName name="Passenger_Vehicles_Occupancy">'Appendix A. Parameter Values'!$C$48</definedName>
    <definedName name="_xlnm.Print_Area" localSheetId="1">'ALL_ES-2. B&amp;C Summary Backup'!$A$1:$O$98</definedName>
    <definedName name="_xlnm.Print_Area" localSheetId="3">'MM_ES-2. B&amp;C Summary Backup'!$A$1:$O$98</definedName>
    <definedName name="_xlnm.Print_Area" localSheetId="6">'Q_ES-2. B&amp;C Summary Backup'!$A$1:$O$98</definedName>
    <definedName name="_xlnm.Print_Titles" localSheetId="24">'4. Foregone Cost Savings'!$1:$6</definedName>
    <definedName name="_xlnm.Print_Titles" localSheetId="25">'4B. Foregone Cost Backup'!$1:$4</definedName>
    <definedName name="_xlnm.Print_Titles" localSheetId="26">'5. Transit Facility Benefits'!$1:$6</definedName>
    <definedName name="_xlnm.Print_Titles" localSheetId="28">'6. Pedestrian Facility Benefits'!$1:$6</definedName>
    <definedName name="_xlnm.Print_Titles" localSheetId="30">'7. Cycling Facility Benefits'!$1:$4</definedName>
    <definedName name="_xlnm.Print_Titles" localSheetId="1">'ALL_ES-2. B&amp;C Summary Backup'!$1:$5</definedName>
    <definedName name="_xlnm.Print_Titles" localSheetId="41">'Appendix A. Parameter Values'!$1:$5</definedName>
    <definedName name="_xlnm.Print_Titles" localSheetId="7">'MM_1. Safety Benefits'!$1:$5</definedName>
    <definedName name="_xlnm.Print_Titles" localSheetId="39">'MM_12. Lifecycle Mgmt. Costs'!$1:$5</definedName>
    <definedName name="_xlnm.Print_Titles" localSheetId="8">'MM_1B. Safety Backup'!$1:$6</definedName>
    <definedName name="_xlnm.Print_Titles" localSheetId="11">'MM_2. Emissions Benefits'!$1:$5</definedName>
    <definedName name="_xlnm.Print_Titles" localSheetId="12">'MM_2B. Emissions Backup'!$1:$5</definedName>
    <definedName name="_xlnm.Print_Titles" localSheetId="16">'MM_3B. TTS Backup 2028'!$1:$5</definedName>
    <definedName name="_xlnm.Print_Titles" localSheetId="17">'MM_3C. TTS Backup 2058'!$1:$5</definedName>
    <definedName name="_xlnm.Print_Titles" localSheetId="18">'MM_3D. TTS Backup All Years'!$1:$5</definedName>
    <definedName name="_xlnm.Print_Titles" localSheetId="3">'MM_ES-2. B&amp;C Summary Backup'!$1:$5</definedName>
    <definedName name="_xlnm.Print_Titles" localSheetId="9">'Q_1. Safety Benefits'!$1:$5</definedName>
    <definedName name="_xlnm.Print_Titles" localSheetId="40">'Q_12. Lifecycle Mgmt. Costs'!$1:$5</definedName>
    <definedName name="_xlnm.Print_Titles" localSheetId="10">'Q_1B. Safety Backup'!$1:$6</definedName>
    <definedName name="_xlnm.Print_Titles" localSheetId="13">'Q_2. Emissions Benefits'!$1:$5</definedName>
    <definedName name="_xlnm.Print_Titles" localSheetId="14">'Q_2B. Emissions Backup'!$1:$5</definedName>
    <definedName name="_xlnm.Print_Titles" localSheetId="20">'Q_3B. TTS Backup 2028'!$1:$5</definedName>
    <definedName name="_xlnm.Print_Titles" localSheetId="21">'Q_3C. TTS Backup 2058'!$1:$5</definedName>
    <definedName name="_xlnm.Print_Titles" localSheetId="34">'Q_3D. TTS Backup All Years'!$1:$5</definedName>
    <definedName name="_xlnm.Print_Titles" localSheetId="42">'Q_Appendix A. Parameter Values'!$1:$5</definedName>
    <definedName name="_xlnm.Print_Titles" localSheetId="6">'Q_ES-2. B&amp;C Summary Backup'!$1:$5</definedName>
    <definedName name="Project_Name" localSheetId="9">'Q_Appendix B. Project Info'!$C$12</definedName>
    <definedName name="Project_Name" localSheetId="36">'Q_Appendix B. Project Info'!$C$12</definedName>
    <definedName name="Project_Name" localSheetId="38">'Q_Appendix B. Project Info'!$C$12</definedName>
    <definedName name="Project_Name" localSheetId="40">'Q_Appendix B. Project Info'!$C$12</definedName>
    <definedName name="Project_Name" localSheetId="10">'Q_Appendix B. Project Info'!$C$12</definedName>
    <definedName name="Project_Name" localSheetId="13">'Q_Appendix B. Project Info'!$C$12</definedName>
    <definedName name="Project_Name" localSheetId="14">'Q_Appendix B. Project Info'!$C$12</definedName>
    <definedName name="Project_Name" localSheetId="19">'Q_Appendix B. Project Info'!$C$12</definedName>
    <definedName name="Project_Name" localSheetId="20">'Q_Appendix B. Project Info'!$C$12</definedName>
    <definedName name="Project_Name" localSheetId="21">'Q_Appendix B. Project Info'!$C$12</definedName>
    <definedName name="Project_Name" localSheetId="34">'Q_Appendix B. Project Info'!$C$12</definedName>
    <definedName name="Project_Name" localSheetId="42">'Q_Appendix B. Project Info'!$C$12</definedName>
    <definedName name="Project_Name" localSheetId="44">'Q_Appendix B. Project Info'!$C$12</definedName>
    <definedName name="Project_Name" localSheetId="4">'Q_Appendix B. Project Info'!$C$12</definedName>
    <definedName name="Project_Name" localSheetId="6">'Q_Appendix B. Project Info'!$C$12</definedName>
    <definedName name="Project_Name">'Appendix B. Project Information'!$C$12</definedName>
    <definedName name="Q_AvgDelay_27NB" localSheetId="0">Table3B.5_27TTS_PA101[[#Totals],[Average Delay: Per Vehicle (hr/veh)]]</definedName>
    <definedName name="Q_AvgDelay_27NB" localSheetId="1">Table3B.5_27TTS_PA101[[#Totals],[Average Delay: Per Vehicle (hr/veh)]]</definedName>
    <definedName name="Q_AvgDelay_27NB">Table3B.5_27TTS_PA101[[#Totals],[Average Delay: Per Vehicle (hr/veh)]]</definedName>
    <definedName name="Q_AvgDelay_27PAB" localSheetId="0">Table3B.5_27TTS_PA101[[#Totals],[Average Delay: Per Vehicle (hr/veh)]]</definedName>
    <definedName name="Q_AvgDelay_27PAB" localSheetId="1">Table3B.5_27TTS_PA101[[#Totals],[Average Delay: Per Vehicle (hr/veh)]]</definedName>
    <definedName name="Q_AvgDelay_27PAB">Table3B.5_27TTS_PA101[[#Totals],[Average Delay: Per Vehicle (hr/veh)]]</definedName>
    <definedName name="Q_AvgDelay_57NB" localSheetId="0">Table3C.1_57TTS_NB105[[#Totals],[Average Delay (hr/veh)]]</definedName>
    <definedName name="Q_AvgDelay_57NB" localSheetId="1">Table3C.1_57TTS_NB105[[#Totals],[Average Delay (hr/veh)]]</definedName>
    <definedName name="Q_AvgDelay_57NB">Table3C.1_57TTS_NB105[[#Totals],[Average Delay (hr/veh)]]</definedName>
    <definedName name="Q_AvgDelay_57PA" localSheetId="0">Table3C.3_57TTS_PA106[[#Totals],[Average Delay: Per Vehicle (hr/veh)]]</definedName>
    <definedName name="Q_AvgDelay_57PA" localSheetId="1">Table3C.3_57TTS_PA106[[#Totals],[Average Delay: Per Vehicle (hr/veh)]]</definedName>
    <definedName name="Q_AvgDelay_57PA">Table3C.3_57TTS_PA106[[#Totals],[Average Delay: Per Vehicle (hr/veh)]]</definedName>
    <definedName name="Q_DelayTot_27B" localSheetId="0">Table3B.3_27TTS_NB100[[#Totals],[Total Delay (hr)]]</definedName>
    <definedName name="Q_DelayTot_27B" localSheetId="1">Table3B.3_27TTS_NB100[[#Totals],[Total Delay (hr)]]</definedName>
    <definedName name="Q_DelayTot_27B">Table3B.3_27TTS_NB100[[#Totals],[Total Delay (hr)]]</definedName>
    <definedName name="Q_DelayTot_27PA" localSheetId="0">Table3B.5_27TTS_PA101[[#Totals],[Total Delay: All Vehicles (hr)]]</definedName>
    <definedName name="Q_DelayTot_27PA" localSheetId="1">Table3B.5_27TTS_PA101[[#Totals],[Total Delay: All Vehicles (hr)]]</definedName>
    <definedName name="Q_DelayTot_27PA">Table3B.5_27TTS_PA101[[#Totals],[Total Delay: All Vehicles (hr)]]</definedName>
    <definedName name="Q_DelayTotChange_NB" localSheetId="0">(Table3C.1_57TTS_NB105[[#Totals],[Total Delay (hr)]]-Table3B.3_27TTS_NB100[[#Totals],[Total Delay (hr)]])/30</definedName>
    <definedName name="Q_DelayTotChange_NB" localSheetId="1">(Table3C.1_57TTS_NB105[[#Totals],[Total Delay (hr)]]-Table3B.3_27TTS_NB100[[#Totals],[Total Delay (hr)]])/30</definedName>
    <definedName name="Q_DelayTotChange_NB">(Table3C.1_57TTS_NB105[[#Totals],[Total Delay (hr)]]-Table3B.3_27TTS_NB100[[#Totals],[Total Delay (hr)]])/30</definedName>
    <definedName name="Q_DelayTotChange_PA" localSheetId="0">(Table3C.3_57TTS_PA106[[#Totals],[Total Delay: All Vehicles (hr)]]-Table3B.5_27TTS_PA101[[#Totals],[Total Delay: All Vehicles (hr)]])/30</definedName>
    <definedName name="Q_DelayTotChange_PA" localSheetId="1">(Table3C.3_57TTS_PA106[[#Totals],[Total Delay: All Vehicles (hr)]]-Table3B.5_27TTS_PA101[[#Totals],[Total Delay: All Vehicles (hr)]])/30</definedName>
    <definedName name="Q_DelayTotChange_PA">(Table3C.3_57TTS_PA106[[#Totals],[Total Delay: All Vehicles (hr)]]-Table3B.5_27TTS_PA101[[#Totals],[Total Delay: All Vehicles (hr)]])/30</definedName>
    <definedName name="Q_MPH_27NB" localSheetId="0">Table3B.3_27TTS_NB100[[#Totals],[Average Speed (mph)]]</definedName>
    <definedName name="Q_MPH_27NB" localSheetId="1">Table3B.3_27TTS_NB100[[#Totals],[Average Speed (mph)]]</definedName>
    <definedName name="Q_MPH_27NB">Table3B.3_27TTS_NB100[[#Totals],[Average Speed (mph)]]</definedName>
    <definedName name="Q_MPH_27PA" localSheetId="0">Table3B.5_27TTS_PA101[[#Totals],[Average Speed (mph)]]</definedName>
    <definedName name="Q_MPH_27PA" localSheetId="1">Table3B.5_27TTS_PA101[[#Totals],[Average Speed (mph)]]</definedName>
    <definedName name="Q_MPH_27PA">Table3B.5_27TTS_PA101[[#Totals],[Average Speed (mph)]]</definedName>
    <definedName name="Q_MPH_57NB" localSheetId="0">Table3C.1_57TTS_NB105[[#Totals],[Average Speed (mph)]]</definedName>
    <definedName name="Q_MPH_57NB" localSheetId="1">Table3C.1_57TTS_NB105[[#Totals],[Average Speed (mph)]]</definedName>
    <definedName name="Q_MPH_57NB">Table3C.1_57TTS_NB105[[#Totals],[Average Speed (mph)]]</definedName>
    <definedName name="Q_MPH_57PA" localSheetId="0">Table3C.3_57TTS_PA106[[#Totals],[Average Speed (mph)]]</definedName>
    <definedName name="Q_MPH_57PA" localSheetId="1">Table3C.3_57TTS_PA106[[#Totals],[Average Speed (mph)]]</definedName>
    <definedName name="Q_MPH_57PA">Table3C.3_57TTS_PA106[[#Totals],[Average Speed (mph)]]</definedName>
    <definedName name="Q_Traffic_27NB" localSheetId="0">Table3B.3_27TTS_NB100[[#Totals],[Total Vehicles in Network]]</definedName>
    <definedName name="Q_Traffic_27NB" localSheetId="1">Table3B.3_27TTS_NB100[[#Totals],[Total Vehicles in Network]]</definedName>
    <definedName name="Q_Traffic_27NB">Table3B.3_27TTS_NB100[[#Totals],[Total Vehicles in Network]]</definedName>
    <definedName name="Q_Traffic_27PA" localSheetId="0">Table3B.5_27TTS_PA101[[#Totals],[Total Vehicles Traveling Within the Network]]</definedName>
    <definedName name="Q_Traffic_27PA" localSheetId="1">Table3B.5_27TTS_PA101[[#Totals],[Total Vehicles Traveling Within the Network]]</definedName>
    <definedName name="Q_Traffic_27PA">Table3B.5_27TTS_PA101[[#Totals],[Total Vehicles Traveling Within the Network]]</definedName>
    <definedName name="Q_Traffic_57NB" localSheetId="0">Table3C.1_57TTS_NB105[[#Totals],[Total Vehicles in Network]]</definedName>
    <definedName name="Q_Traffic_57NB" localSheetId="1">Table3C.1_57TTS_NB105[[#Totals],[Total Vehicles in Network]]</definedName>
    <definedName name="Q_Traffic_57NB">Table3C.1_57TTS_NB105[[#Totals],[Total Vehicles in Network]]</definedName>
    <definedName name="Q_Traffic_57PA" localSheetId="0">Table3C.3_57TTS_PA106[[#Totals],[Total Vehicles Traveling Within the Network]]</definedName>
    <definedName name="Q_Traffic_57PA" localSheetId="1">Table3C.3_57TTS_PA106[[#Totals],[Total Vehicles Traveling Within the Network]]</definedName>
    <definedName name="Q_Traffic_57PA">Table3C.3_57TTS_PA106[[#Totals],[Total Vehicles Traveling Within the Network]]</definedName>
    <definedName name="Q_TTSB_27" localSheetId="0">Table3B.7_27Money104[[#Totals],[Total Benefits, High (365 Days)]]</definedName>
    <definedName name="Q_TTSB_27" localSheetId="1">Table3B.7_27Money104[[#Totals],[Total Benefits, High (365 Days)]]</definedName>
    <definedName name="Q_TTSB_27">Table3B.7_27Money104[[#Totals],[Total Benefits, High (365 Days)]]</definedName>
    <definedName name="Q_TTSB_57" localSheetId="0">Table3C.7_57TTSMoney109[[#Totals],[Total Benefits, High (365 Days)]]</definedName>
    <definedName name="Q_TTSB_57" localSheetId="1">Table3C.7_57TTSMoney109[[#Totals],[Total Benefits, High (365 Days)]]</definedName>
    <definedName name="Q_TTSB_57">Table3C.7_57TTSMoney109[[#Totals],[Total Benefits, High (365 Days)]]</definedName>
    <definedName name="Q_VHT_27NB" localSheetId="0">Table3B.3_27TTS_NB100[[#Totals],[VHT: Total Time in Network (hr)]]</definedName>
    <definedName name="Q_VHT_27NB" localSheetId="1">Table3B.3_27TTS_NB100[[#Totals],[VHT: Total Time in Network (hr)]]</definedName>
    <definedName name="Q_VHT_27NB">Table3B.3_27TTS_NB100[[#Totals],[VHT: Total Time in Network (hr)]]</definedName>
    <definedName name="Q_VHT_27PA" localSheetId="0">Table3B.5_27TTS_PA101[[#Totals],[VHT: Total Time Within the Network (hr)]]</definedName>
    <definedName name="Q_VHT_27PA" localSheetId="1">Table3B.5_27TTS_PA101[[#Totals],[VHT: Total Time Within the Network (hr)]]</definedName>
    <definedName name="Q_VHT_27PA">Table3B.5_27TTS_PA101[[#Totals],[VHT: Total Time Within the Network (hr)]]</definedName>
    <definedName name="Q_VHT_57NB" localSheetId="0">Table3C.1_57TTS_NB105[[#Totals],[VHT: Total Time in Network (hr)]]</definedName>
    <definedName name="Q_VHT_57NB" localSheetId="1">Table3C.1_57TTS_NB105[[#Totals],[VHT: Total Time in Network (hr)]]</definedName>
    <definedName name="Q_VHT_57NB">Table3C.1_57TTS_NB105[[#Totals],[VHT: Total Time in Network (hr)]]</definedName>
    <definedName name="Q_VHT_57PA" localSheetId="0">Table3C.3_57TTS_PA106[[#Totals],[VHT: Total Time Within the Network (hr)]]</definedName>
    <definedName name="Q_VHT_57PA" localSheetId="1">Table3C.3_57TTS_PA106[[#Totals],[VHT: Total Time Within the Network (hr)]]</definedName>
    <definedName name="Q_VHT_57PA">Table3C.3_57TTS_PA106[[#Totals],[VHT: Total Time Within the Network (hr)]]</definedName>
    <definedName name="Q_VMT_27NB" localSheetId="0">Table3B.3_27TTS_NB100[[#Totals],[VMT: Total Path Distance (mi)]]</definedName>
    <definedName name="Q_VMT_27NB" localSheetId="1">Table3B.3_27TTS_NB100[[#Totals],[VMT: Total Path Distance (mi)]]</definedName>
    <definedName name="Q_VMT_27NB">Table3B.3_27TTS_NB100[[#Totals],[VMT: Total Path Distance (mi)]]</definedName>
    <definedName name="Q_VMT_27PA" localSheetId="0">Table3B.5_27TTS_PA101[[#Totals],[VMT: Total Path Distance (mi)]]</definedName>
    <definedName name="Q_VMT_27PA" localSheetId="1">Table3B.5_27TTS_PA101[[#Totals],[VMT: Total Path Distance (mi)]]</definedName>
    <definedName name="Q_VMT_27PA">Table3B.5_27TTS_PA101[[#Totals],[VMT: Total Path Distance (mi)]]</definedName>
    <definedName name="Q_VMT_57NB" localSheetId="0">Table3C.1_57TTS_NB105[[#Totals],[VMT: Total Path Distance (mi)]]</definedName>
    <definedName name="Q_VMT_57NB" localSheetId="1">Table3C.1_57TTS_NB105[[#Totals],[VMT: Total Path Distance (mi)]]</definedName>
    <definedName name="Q_VMT_57NB">Table3C.1_57TTS_NB105[[#Totals],[VMT: Total Path Distance (mi)]]</definedName>
    <definedName name="Q_VMT_57PA" localSheetId="0">Table3C.3_57TTS_PA106[[#Totals],[VMT: Total Path Distance (mi)]]</definedName>
    <definedName name="Q_VMT_57PA" localSheetId="1">Table3C.3_57TTS_PA106[[#Totals],[VMT: Total Path Distance (mi)]]</definedName>
    <definedName name="Q_VMT_57PA">Table3C.3_57TTS_PA106[[#Totals],[VMT: Total Path Distance (mi)]]</definedName>
    <definedName name="Q_Years_All" localSheetId="0">Table39132[Year]</definedName>
    <definedName name="Q_Years_All" localSheetId="1">Table39132[Year]</definedName>
    <definedName name="Q_Years_All">Table39132[Year]</definedName>
    <definedName name="QAvgDekay_27NB" localSheetId="0">Table3B.3_27TTS_NB100[[#Totals],[Average Delay (hr/veh)]]</definedName>
    <definedName name="QAvgDekay_27NB" localSheetId="1">Table3B.3_27TTS_NB100[[#Totals],[Average Delay (hr/veh)]]</definedName>
    <definedName name="QAvgDekay_27NB">Table3B.3_27TTS_NB100[[#Totals],[Average Delay (hr/veh)]]</definedName>
    <definedName name="TrafChange_NB" localSheetId="9">'Q_3. Travel Time Benefits'!$C$27</definedName>
    <definedName name="TrafChange_NB" localSheetId="36">'Q_3. Travel Time Benefits'!$C$27</definedName>
    <definedName name="TrafChange_NB" localSheetId="38">'Q_3. Travel Time Benefits'!$C$27</definedName>
    <definedName name="TrafChange_NB" localSheetId="40">'Q_3. Travel Time Benefits'!$C$27</definedName>
    <definedName name="TrafChange_NB" localSheetId="10">'Q_3. Travel Time Benefits'!$C$27</definedName>
    <definedName name="TrafChange_NB" localSheetId="13">'Q_3. Travel Time Benefits'!$C$27</definedName>
    <definedName name="TrafChange_NB" localSheetId="14">'Q_3. Travel Time Benefits'!$C$27</definedName>
    <definedName name="TrafChange_NB" localSheetId="19">'Q_3. Travel Time Benefits'!$C$27</definedName>
    <definedName name="TrafChange_NB" localSheetId="20">'Q_3. Travel Time Benefits'!$C$27</definedName>
    <definedName name="TrafChange_NB" localSheetId="21">'Q_3. Travel Time Benefits'!$C$27</definedName>
    <definedName name="TrafChange_NB" localSheetId="34">'Q_3. Travel Time Benefits'!$C$27</definedName>
    <definedName name="TrafChange_NB" localSheetId="42">'Q_3. Travel Time Benefits'!$C$27</definedName>
    <definedName name="TrafChange_NB" localSheetId="44">'Q_3. Travel Time Benefits'!$C$27</definedName>
    <definedName name="TrafChange_NB" localSheetId="4">'Q_3. Travel Time Benefits'!$C$27</definedName>
    <definedName name="TrafChange_NB" localSheetId="6">'Q_3. Travel Time Benefits'!$C$27</definedName>
    <definedName name="TrafChange_NB">'MM_3. Travel Time Benefits'!$C$27</definedName>
    <definedName name="TrafChange_PA" localSheetId="9">'Q_3. Travel Time Benefits'!$C$28</definedName>
    <definedName name="TrafChange_PA" localSheetId="36">'Q_3. Travel Time Benefits'!$C$28</definedName>
    <definedName name="TrafChange_PA" localSheetId="38">'Q_3. Travel Time Benefits'!$C$28</definedName>
    <definedName name="TrafChange_PA" localSheetId="40">'Q_3. Travel Time Benefits'!$C$28</definedName>
    <definedName name="TrafChange_PA" localSheetId="10">'Q_3. Travel Time Benefits'!$C$28</definedName>
    <definedName name="TrafChange_PA" localSheetId="13">'Q_3. Travel Time Benefits'!$C$28</definedName>
    <definedName name="TrafChange_PA" localSheetId="14">'Q_3. Travel Time Benefits'!$C$28</definedName>
    <definedName name="TrafChange_PA" localSheetId="19">'Q_3. Travel Time Benefits'!$C$28</definedName>
    <definedName name="TrafChange_PA" localSheetId="20">'Q_3. Travel Time Benefits'!$C$28</definedName>
    <definedName name="TrafChange_PA" localSheetId="21">'Q_3. Travel Time Benefits'!$C$28</definedName>
    <definedName name="TrafChange_PA" localSheetId="34">'Q_3. Travel Time Benefits'!$C$28</definedName>
    <definedName name="TrafChange_PA" localSheetId="42">'Q_3. Travel Time Benefits'!$C$28</definedName>
    <definedName name="TrafChange_PA" localSheetId="44">'Q_3. Travel Time Benefits'!$C$28</definedName>
    <definedName name="TrafChange_PA" localSheetId="4">'Q_3. Travel Time Benefits'!$C$28</definedName>
    <definedName name="TrafChange_PA" localSheetId="6">'Q_3. Travel Time Benefits'!$C$28</definedName>
    <definedName name="TrafChange_PA">'MM_3. Travel Time Benefits'!$C$28</definedName>
    <definedName name="Traffic_27NB" localSheetId="26">Table3B.3_27TTS_NB[[#Totals],[Total Vehicles in Network]]</definedName>
    <definedName name="Traffic_27NB" localSheetId="28">Table3B.3_27TTS_NB[[#Totals],[Total Vehicles in Network]]</definedName>
    <definedName name="Traffic_27NB" localSheetId="30">Table3B.3_27TTS_NB[[#Totals],[Total Vehicles in Network]]</definedName>
    <definedName name="Traffic_27NB" localSheetId="31">Table3B.3_27TTS_NB[[#Totals],[Total Vehicles in Network]]</definedName>
    <definedName name="Traffic_27NB" localSheetId="0">Table3B.3_27TTS_NB[[#Totals],[Total Vehicles in Network]]</definedName>
    <definedName name="Traffic_27NB" localSheetId="1">Table3B.3_27TTS_NB[[#Totals],[Total Vehicles in Network]]</definedName>
    <definedName name="Traffic_27NB" localSheetId="39">Table3B.3_27TTS_NB[[#Totals],[Total Vehicles in Network]]</definedName>
    <definedName name="Traffic_27NB" localSheetId="9">Table3B.3_27TTS_NB100[[#Totals],[Total Vehicles in Network]]</definedName>
    <definedName name="Traffic_27NB" localSheetId="36">Table3B.3_27TTS_NB100[[#Totals],[Total Vehicles in Network]]</definedName>
    <definedName name="Traffic_27NB" localSheetId="38">Table3B.3_27TTS_NB100[[#Totals],[Total Vehicles in Network]]</definedName>
    <definedName name="Traffic_27NB" localSheetId="40">Table3B.3_27TTS_NB100[[#Totals],[Total Vehicles in Network]]</definedName>
    <definedName name="Traffic_27NB" localSheetId="10">Table3B.3_27TTS_NB100[[#Totals],[Total Vehicles in Network]]</definedName>
    <definedName name="Traffic_27NB" localSheetId="13">Table3B.3_27TTS_NB100[[#Totals],[Total Vehicles in Network]]</definedName>
    <definedName name="Traffic_27NB" localSheetId="14">Table3B.3_27TTS_NB100[[#Totals],[Total Vehicles in Network]]</definedName>
    <definedName name="Traffic_27NB" localSheetId="19">Table3B.3_27TTS_NB100[[#Totals],[Total Vehicles in Network]]</definedName>
    <definedName name="Traffic_27NB" localSheetId="20">Table3B.3_27TTS_NB100[[#Totals],[Total Vehicles in Network]]</definedName>
    <definedName name="Traffic_27NB" localSheetId="21">Table3B.3_27TTS_NB100[[#Totals],[Total Vehicles in Network]]</definedName>
    <definedName name="Traffic_27NB" localSheetId="34">Table3B.3_27TTS_NB100[[#Totals],[Total Vehicles in Network]]</definedName>
    <definedName name="Traffic_27NB" localSheetId="42">Table3B.3_27TTS_NB100[[#Totals],[Total Vehicles in Network]]</definedName>
    <definedName name="Traffic_27NB" localSheetId="44">Table3B.3_27TTS_NB100[[#Totals],[Total Vehicles in Network]]</definedName>
    <definedName name="Traffic_27NB" localSheetId="4">Table3B.3_27TTS_NB100[[#Totals],[Total Vehicles in Network]]</definedName>
    <definedName name="Traffic_27NB" localSheetId="6">Table3B.3_27TTS_NB100[[#Totals],[Total Vehicles in Network]]</definedName>
    <definedName name="Traffic_27NB">Table3B.3_27TTS_NB[[#Totals],[Total Vehicles in Network]]</definedName>
    <definedName name="Traffic_27PA" localSheetId="26">Table3B.5_27TTS_PA[[#Totals],[Total Vehicles Traveling Within the Network]]</definedName>
    <definedName name="Traffic_27PA" localSheetId="28">Table3B.5_27TTS_PA[[#Totals],[Total Vehicles Traveling Within the Network]]</definedName>
    <definedName name="Traffic_27PA" localSheetId="30">Table3B.5_27TTS_PA[[#Totals],[Total Vehicles Traveling Within the Network]]</definedName>
    <definedName name="Traffic_27PA" localSheetId="31">Table3B.5_27TTS_PA[[#Totals],[Total Vehicles Traveling Within the Network]]</definedName>
    <definedName name="Traffic_27PA" localSheetId="0">Table3B.5_27TTS_PA[[#Totals],[Total Vehicles Traveling Within the Network]]</definedName>
    <definedName name="Traffic_27PA" localSheetId="1">Table3B.5_27TTS_PA[[#Totals],[Total Vehicles Traveling Within the Network]]</definedName>
    <definedName name="Traffic_27PA" localSheetId="39">Table3B.5_27TTS_PA[[#Totals],[Total Vehicles Traveling Within the Network]]</definedName>
    <definedName name="Traffic_27PA" localSheetId="9">Table3B.5_27TTS_PA101[[#Totals],[Total Vehicles Traveling Within the Network]]</definedName>
    <definedName name="Traffic_27PA" localSheetId="36">Table3B.5_27TTS_PA101[[#Totals],[Total Vehicles Traveling Within the Network]]</definedName>
    <definedName name="Traffic_27PA" localSheetId="38">Table3B.5_27TTS_PA101[[#Totals],[Total Vehicles Traveling Within the Network]]</definedName>
    <definedName name="Traffic_27PA" localSheetId="40">Table3B.5_27TTS_PA101[[#Totals],[Total Vehicles Traveling Within the Network]]</definedName>
    <definedName name="Traffic_27PA" localSheetId="10">Table3B.5_27TTS_PA101[[#Totals],[Total Vehicles Traveling Within the Network]]</definedName>
    <definedName name="Traffic_27PA" localSheetId="13">Table3B.5_27TTS_PA101[[#Totals],[Total Vehicles Traveling Within the Network]]</definedName>
    <definedName name="Traffic_27PA" localSheetId="14">Table3B.5_27TTS_PA101[[#Totals],[Total Vehicles Traveling Within the Network]]</definedName>
    <definedName name="Traffic_27PA" localSheetId="19">Table3B.5_27TTS_PA101[[#Totals],[Total Vehicles Traveling Within the Network]]</definedName>
    <definedName name="Traffic_27PA" localSheetId="20">Table3B.5_27TTS_PA101[[#Totals],[Total Vehicles Traveling Within the Network]]</definedName>
    <definedName name="Traffic_27PA" localSheetId="21">Table3B.5_27TTS_PA101[[#Totals],[Total Vehicles Traveling Within the Network]]</definedName>
    <definedName name="Traffic_27PA" localSheetId="34">Table3B.5_27TTS_PA101[[#Totals],[Total Vehicles Traveling Within the Network]]</definedName>
    <definedName name="Traffic_27PA" localSheetId="42">Table3B.5_27TTS_PA101[[#Totals],[Total Vehicles Traveling Within the Network]]</definedName>
    <definedName name="Traffic_27PA" localSheetId="44">Table3B.5_27TTS_PA101[[#Totals],[Total Vehicles Traveling Within the Network]]</definedName>
    <definedName name="Traffic_27PA" localSheetId="4">Table3B.5_27TTS_PA101[[#Totals],[Total Vehicles Traveling Within the Network]]</definedName>
    <definedName name="Traffic_27PA" localSheetId="6">Table3B.5_27TTS_PA101[[#Totals],[Total Vehicles Traveling Within the Network]]</definedName>
    <definedName name="Traffic_27PA">Table3B.5_27TTS_PA[[#Totals],[Total Vehicles Traveling Within the Network]]</definedName>
    <definedName name="Traffic_57NB" localSheetId="26">Table3C.1_57TTS_NB[[#Totals],[Total Vehicles in Network]]</definedName>
    <definedName name="Traffic_57NB" localSheetId="28">Table3C.1_57TTS_NB[[#Totals],[Total Vehicles in Network]]</definedName>
    <definedName name="Traffic_57NB" localSheetId="30">Table3C.1_57TTS_NB[[#Totals],[Total Vehicles in Network]]</definedName>
    <definedName name="Traffic_57NB" localSheetId="31">Table3C.1_57TTS_NB[[#Totals],[Total Vehicles in Network]]</definedName>
    <definedName name="Traffic_57NB" localSheetId="0">Table3C.1_57TTS_NB[[#Totals],[Total Vehicles in Network]]</definedName>
    <definedName name="Traffic_57NB" localSheetId="1">Table3C.1_57TTS_NB[[#Totals],[Total Vehicles in Network]]</definedName>
    <definedName name="Traffic_57NB" localSheetId="39">Table3C.1_57TTS_NB[[#Totals],[Total Vehicles in Network]]</definedName>
    <definedName name="Traffic_57NB" localSheetId="9">Table3C.1_57TTS_NB105[[#Totals],[Total Vehicles in Network]]</definedName>
    <definedName name="Traffic_57NB" localSheetId="36">Table3C.1_57TTS_NB105[[#Totals],[Total Vehicles in Network]]</definedName>
    <definedName name="Traffic_57NB" localSheetId="38">Table3C.1_57TTS_NB105[[#Totals],[Total Vehicles in Network]]</definedName>
    <definedName name="Traffic_57NB" localSheetId="40">Table3C.1_57TTS_NB105[[#Totals],[Total Vehicles in Network]]</definedName>
    <definedName name="Traffic_57NB" localSheetId="10">Table3C.1_57TTS_NB105[[#Totals],[Total Vehicles in Network]]</definedName>
    <definedName name="Traffic_57NB" localSheetId="13">Table3C.1_57TTS_NB105[[#Totals],[Total Vehicles in Network]]</definedName>
    <definedName name="Traffic_57NB" localSheetId="14">Table3C.1_57TTS_NB105[[#Totals],[Total Vehicles in Network]]</definedName>
    <definedName name="Traffic_57NB" localSheetId="19">Table3C.1_57TTS_NB105[[#Totals],[Total Vehicles in Network]]</definedName>
    <definedName name="Traffic_57NB" localSheetId="20">Table3C.1_57TTS_NB105[[#Totals],[Total Vehicles in Network]]</definedName>
    <definedName name="Traffic_57NB" localSheetId="21">Table3C.1_57TTS_NB105[[#Totals],[Total Vehicles in Network]]</definedName>
    <definedName name="Traffic_57NB" localSheetId="34">Table3C.1_57TTS_NB105[[#Totals],[Total Vehicles in Network]]</definedName>
    <definedName name="Traffic_57NB" localSheetId="42">Table3C.1_57TTS_NB105[[#Totals],[Total Vehicles in Network]]</definedName>
    <definedName name="Traffic_57NB" localSheetId="44">Table3C.1_57TTS_NB105[[#Totals],[Total Vehicles in Network]]</definedName>
    <definedName name="Traffic_57NB" localSheetId="4">Table3C.1_57TTS_NB105[[#Totals],[Total Vehicles in Network]]</definedName>
    <definedName name="Traffic_57NB" localSheetId="6">Table3C.1_57TTS_NB105[[#Totals],[Total Vehicles in Network]]</definedName>
    <definedName name="Traffic_57NB">Table3C.1_57TTS_NB[[#Totals],[Total Vehicles in Network]]</definedName>
    <definedName name="Traffic_57PA" localSheetId="26">Table3C.3_57TTS_PA[[#Totals],[Total Vehicles Traveling Within the Network]]</definedName>
    <definedName name="Traffic_57PA" localSheetId="28">Table3C.3_57TTS_PA[[#Totals],[Total Vehicles Traveling Within the Network]]</definedName>
    <definedName name="Traffic_57PA" localSheetId="30">Table3C.3_57TTS_PA[[#Totals],[Total Vehicles Traveling Within the Network]]</definedName>
    <definedName name="Traffic_57PA" localSheetId="31">Table3C.3_57TTS_PA[[#Totals],[Total Vehicles Traveling Within the Network]]</definedName>
    <definedName name="Traffic_57PA" localSheetId="0">Table3C.3_57TTS_PA[[#Totals],[Total Vehicles Traveling Within the Network]]</definedName>
    <definedName name="Traffic_57PA" localSheetId="1">Table3C.3_57TTS_PA[[#Totals],[Total Vehicles Traveling Within the Network]]</definedName>
    <definedName name="Traffic_57PA" localSheetId="39">Table3C.3_57TTS_PA[[#Totals],[Total Vehicles Traveling Within the Network]]</definedName>
    <definedName name="Traffic_57PA" localSheetId="9">Table3C.3_57TTS_PA106[[#Totals],[Total Vehicles Traveling Within the Network]]</definedName>
    <definedName name="Traffic_57PA" localSheetId="36">Table3C.3_57TTS_PA106[[#Totals],[Total Vehicles Traveling Within the Network]]</definedName>
    <definedName name="Traffic_57PA" localSheetId="38">Table3C.3_57TTS_PA106[[#Totals],[Total Vehicles Traveling Within the Network]]</definedName>
    <definedName name="Traffic_57PA" localSheetId="40">Table3C.3_57TTS_PA106[[#Totals],[Total Vehicles Traveling Within the Network]]</definedName>
    <definedName name="Traffic_57PA" localSheetId="10">Table3C.3_57TTS_PA106[[#Totals],[Total Vehicles Traveling Within the Network]]</definedName>
    <definedName name="Traffic_57PA" localSheetId="13">Table3C.3_57TTS_PA106[[#Totals],[Total Vehicles Traveling Within the Network]]</definedName>
    <definedName name="Traffic_57PA" localSheetId="14">Table3C.3_57TTS_PA106[[#Totals],[Total Vehicles Traveling Within the Network]]</definedName>
    <definedName name="Traffic_57PA" localSheetId="19">Table3C.3_57TTS_PA106[[#Totals],[Total Vehicles Traveling Within the Network]]</definedName>
    <definedName name="Traffic_57PA" localSheetId="20">Table3C.3_57TTS_PA106[[#Totals],[Total Vehicles Traveling Within the Network]]</definedName>
    <definedName name="Traffic_57PA" localSheetId="21">Table3C.3_57TTS_PA106[[#Totals],[Total Vehicles Traveling Within the Network]]</definedName>
    <definedName name="Traffic_57PA" localSheetId="34">Table3C.3_57TTS_PA106[[#Totals],[Total Vehicles Traveling Within the Network]]</definedName>
    <definedName name="Traffic_57PA" localSheetId="42">Table3C.3_57TTS_PA106[[#Totals],[Total Vehicles Traveling Within the Network]]</definedName>
    <definedName name="Traffic_57PA" localSheetId="44">Table3C.3_57TTS_PA106[[#Totals],[Total Vehicles Traveling Within the Network]]</definedName>
    <definedName name="Traffic_57PA" localSheetId="4">Table3C.3_57TTS_PA106[[#Totals],[Total Vehicles Traveling Within the Network]]</definedName>
    <definedName name="Traffic_57PA" localSheetId="6">Table3C.3_57TTS_PA106[[#Totals],[Total Vehicles Traveling Within the Network]]</definedName>
    <definedName name="Traffic_57PA">Table3C.3_57TTS_PA[[#Totals],[Total Vehicles Traveling Within the Network]]</definedName>
    <definedName name="Truck_Travel" localSheetId="9">'Q_Appendix A. Parameter Values'!$C$37</definedName>
    <definedName name="Truck_Travel" localSheetId="36">'Q_Appendix A. Parameter Values'!$C$37</definedName>
    <definedName name="Truck_Travel" localSheetId="38">'Q_Appendix A. Parameter Values'!$C$37</definedName>
    <definedName name="Truck_Travel" localSheetId="40">'Q_Appendix A. Parameter Values'!$C$37</definedName>
    <definedName name="Truck_Travel" localSheetId="10">'Q_Appendix A. Parameter Values'!$C$37</definedName>
    <definedName name="Truck_Travel" localSheetId="13">'Q_Appendix A. Parameter Values'!$C$37</definedName>
    <definedName name="Truck_Travel" localSheetId="14">'Q_Appendix A. Parameter Values'!$C$37</definedName>
    <definedName name="Truck_Travel" localSheetId="19">'Q_Appendix A. Parameter Values'!$C$37</definedName>
    <definedName name="Truck_Travel" localSheetId="20">'Q_Appendix A. Parameter Values'!$C$37</definedName>
    <definedName name="Truck_Travel" localSheetId="21">'Q_Appendix A. Parameter Values'!$C$37</definedName>
    <definedName name="Truck_Travel" localSheetId="34">'Q_Appendix A. Parameter Values'!$C$37</definedName>
    <definedName name="Truck_Travel" localSheetId="42">'Q_Appendix A. Parameter Values'!$C$37</definedName>
    <definedName name="Truck_Travel" localSheetId="44">'Q_Appendix A. Parameter Values'!$C$37</definedName>
    <definedName name="Truck_Travel" localSheetId="4">'Q_Appendix A. Parameter Values'!$C$37</definedName>
    <definedName name="Truck_Travel" localSheetId="6">'Q_Appendix A. Parameter Values'!$C$37</definedName>
    <definedName name="Truck_Travel">'Appendix A. Parameter Values'!$C$37</definedName>
    <definedName name="TTSB_27" localSheetId="26">Table3B.7_27Money[[#Totals],[Total Benefits, High (365 Days)]]</definedName>
    <definedName name="TTSB_27" localSheetId="28">Table3B.7_27Money[[#Totals],[Total Benefits, High (365 Days)]]</definedName>
    <definedName name="TTSB_27" localSheetId="30">Table3B.7_27Money[[#Totals],[Total Benefits, High (365 Days)]]</definedName>
    <definedName name="TTSB_27" localSheetId="31">Table3B.7_27Money[[#Totals],[Total Benefits, High (365 Days)]]</definedName>
    <definedName name="TTSB_27" localSheetId="0">Table3B.7_27Money[[#Totals],[Total Benefits, High (365 Days)]]</definedName>
    <definedName name="TTSB_27" localSheetId="1">Table3B.7_27Money[[#Totals],[Total Benefits, High (365 Days)]]</definedName>
    <definedName name="TTSB_27" localSheetId="39">Table3B.7_27Money[[#Totals],[Total Benefits, High (365 Days)]]</definedName>
    <definedName name="TTSB_27" localSheetId="9">Table3B.7_27Money104[[#Totals],[Total Benefits, High (365 Days)]]</definedName>
    <definedName name="TTSB_27" localSheetId="36">Table3B.7_27Money104[[#Totals],[Total Benefits, High (365 Days)]]</definedName>
    <definedName name="TTSB_27" localSheetId="38">Table3B.7_27Money104[[#Totals],[Total Benefits, High (365 Days)]]</definedName>
    <definedName name="TTSB_27" localSheetId="40">Table3B.7_27Money104[[#Totals],[Total Benefits, High (365 Days)]]</definedName>
    <definedName name="TTSB_27" localSheetId="10">Table3B.7_27Money104[[#Totals],[Total Benefits, High (365 Days)]]</definedName>
    <definedName name="TTSB_27" localSheetId="13">Table3B.7_27Money104[[#Totals],[Total Benefits, High (365 Days)]]</definedName>
    <definedName name="TTSB_27" localSheetId="14">Table3B.7_27Money104[[#Totals],[Total Benefits, High (365 Days)]]</definedName>
    <definedName name="TTSB_27" localSheetId="19">Table3B.7_27Money104[[#Totals],[Total Benefits, High (365 Days)]]</definedName>
    <definedName name="TTSB_27" localSheetId="20">Table3B.7_27Money104[[#Totals],[Total Benefits, High (365 Days)]]</definedName>
    <definedName name="TTSB_27" localSheetId="21">Table3B.7_27Money104[[#Totals],[Total Benefits, High (365 Days)]]</definedName>
    <definedName name="TTSB_27" localSheetId="34">Table3B.7_27Money104[[#Totals],[Total Benefits, High (365 Days)]]</definedName>
    <definedName name="TTSB_27" localSheetId="42">Table3B.7_27Money104[[#Totals],[Total Benefits, High (365 Days)]]</definedName>
    <definedName name="TTSB_27" localSheetId="44">Table3B.7_27Money104[[#Totals],[Total Benefits, High (365 Days)]]</definedName>
    <definedName name="TTSB_27" localSheetId="4">Table3B.7_27Money104[[#Totals],[Total Benefits, High (365 Days)]]</definedName>
    <definedName name="TTSB_27" localSheetId="6">Table3B.7_27Money104[[#Totals],[Total Benefits, High (365 Days)]]</definedName>
    <definedName name="TTSB_27">Table3B.7_27Money[[#Totals],[Total Benefits, High (365 Days)]]</definedName>
    <definedName name="TTSB_57" localSheetId="26">Table3C.7_57TTSMoney[[#Totals],[Total Benefits, High (365 Days)]]</definedName>
    <definedName name="TTSB_57" localSheetId="28">Table3C.7_57TTSMoney[[#Totals],[Total Benefits, High (365 Days)]]</definedName>
    <definedName name="TTSB_57" localSheetId="30">Table3C.7_57TTSMoney[[#Totals],[Total Benefits, High (365 Days)]]</definedName>
    <definedName name="TTSB_57" localSheetId="31">Table3C.7_57TTSMoney[[#Totals],[Total Benefits, High (365 Days)]]</definedName>
    <definedName name="TTSB_57" localSheetId="0">Table3C.7_57TTSMoney[[#Totals],[Total Benefits, High (365 Days)]]</definedName>
    <definedName name="TTSB_57" localSheetId="1">Table3C.7_57TTSMoney[[#Totals],[Total Benefits, High (365 Days)]]</definedName>
    <definedName name="TTSB_57" localSheetId="39">Table3C.7_57TTSMoney[[#Totals],[Total Benefits, High (365 Days)]]</definedName>
    <definedName name="TTSB_57" localSheetId="9">Table3C.7_57TTSMoney109[[#Totals],[Total Benefits, High (365 Days)]]</definedName>
    <definedName name="TTSB_57" localSheetId="36">Table3C.7_57TTSMoney109[[#Totals],[Total Benefits, High (365 Days)]]</definedName>
    <definedName name="TTSB_57" localSheetId="38">Table3C.7_57TTSMoney109[[#Totals],[Total Benefits, High (365 Days)]]</definedName>
    <definedName name="TTSB_57" localSheetId="40">Table3C.7_57TTSMoney109[[#Totals],[Total Benefits, High (365 Days)]]</definedName>
    <definedName name="TTSB_57" localSheetId="10">Table3C.7_57TTSMoney109[[#Totals],[Total Benefits, High (365 Days)]]</definedName>
    <definedName name="TTSB_57" localSheetId="13">Table3C.7_57TTSMoney109[[#Totals],[Total Benefits, High (365 Days)]]</definedName>
    <definedName name="TTSB_57" localSheetId="14">Table3C.7_57TTSMoney109[[#Totals],[Total Benefits, High (365 Days)]]</definedName>
    <definedName name="TTSB_57" localSheetId="19">Table3C.7_57TTSMoney109[[#Totals],[Total Benefits, High (365 Days)]]</definedName>
    <definedName name="TTSB_57" localSheetId="20">Table3C.7_57TTSMoney109[[#Totals],[Total Benefits, High (365 Days)]]</definedName>
    <definedName name="TTSB_57" localSheetId="21">Table3C.7_57TTSMoney109[[#Totals],[Total Benefits, High (365 Days)]]</definedName>
    <definedName name="TTSB_57" localSheetId="34">Table3C.7_57TTSMoney109[[#Totals],[Total Benefits, High (365 Days)]]</definedName>
    <definedName name="TTSB_57" localSheetId="42">Table3C.7_57TTSMoney109[[#Totals],[Total Benefits, High (365 Days)]]</definedName>
    <definedName name="TTSB_57" localSheetId="44">Table3C.7_57TTSMoney109[[#Totals],[Total Benefits, High (365 Days)]]</definedName>
    <definedName name="TTSB_57" localSheetId="4">Table3C.7_57TTSMoney109[[#Totals],[Total Benefits, High (365 Days)]]</definedName>
    <definedName name="TTSB_57" localSheetId="6">Table3C.7_57TTSMoney109[[#Totals],[Total Benefits, High (365 Days)]]</definedName>
    <definedName name="TTSB_57">Table3C.7_57TTSMoney[[#Totals],[Total Benefits, High (365 Days)]]</definedName>
    <definedName name="VHT_27NB" localSheetId="26">Table3B.3_27TTS_NB[[#Totals],[VHT: Total Time in Network (hr)]]</definedName>
    <definedName name="VHT_27NB" localSheetId="28">Table3B.3_27TTS_NB[[#Totals],[VHT: Total Time in Network (hr)]]</definedName>
    <definedName name="VHT_27NB" localSheetId="30">Table3B.3_27TTS_NB[[#Totals],[VHT: Total Time in Network (hr)]]</definedName>
    <definedName name="VHT_27NB" localSheetId="31">Table3B.3_27TTS_NB[[#Totals],[VHT: Total Time in Network (hr)]]</definedName>
    <definedName name="VHT_27NB" localSheetId="0">Table3B.3_27TTS_NB[[#Totals],[VHT: Total Time in Network (hr)]]</definedName>
    <definedName name="VHT_27NB" localSheetId="1">Table3B.3_27TTS_NB[[#Totals],[VHT: Total Time in Network (hr)]]</definedName>
    <definedName name="VHT_27NB" localSheetId="39">Table3B.3_27TTS_NB[[#Totals],[VHT: Total Time in Network (hr)]]</definedName>
    <definedName name="VHT_27NB" localSheetId="9">Table3B.3_27TTS_NB100[[#Totals],[VHT: Total Time in Network (hr)]]</definedName>
    <definedName name="VHT_27NB" localSheetId="36">Table3B.3_27TTS_NB100[[#Totals],[VHT: Total Time in Network (hr)]]</definedName>
    <definedName name="VHT_27NB" localSheetId="38">Table3B.3_27TTS_NB100[[#Totals],[VHT: Total Time in Network (hr)]]</definedName>
    <definedName name="VHT_27NB" localSheetId="40">Table3B.3_27TTS_NB100[[#Totals],[VHT: Total Time in Network (hr)]]</definedName>
    <definedName name="VHT_27NB" localSheetId="10">Table3B.3_27TTS_NB100[[#Totals],[VHT: Total Time in Network (hr)]]</definedName>
    <definedName name="VHT_27NB" localSheetId="13">Table3B.3_27TTS_NB100[[#Totals],[VHT: Total Time in Network (hr)]]</definedName>
    <definedName name="VHT_27NB" localSheetId="14">Table3B.3_27TTS_NB100[[#Totals],[VHT: Total Time in Network (hr)]]</definedName>
    <definedName name="VHT_27NB" localSheetId="19">Table3B.3_27TTS_NB100[[#Totals],[VHT: Total Time in Network (hr)]]</definedName>
    <definedName name="VHT_27NB" localSheetId="20">Table3B.3_27TTS_NB100[[#Totals],[VHT: Total Time in Network (hr)]]</definedName>
    <definedName name="VHT_27NB" localSheetId="21">Table3B.3_27TTS_NB100[[#Totals],[VHT: Total Time in Network (hr)]]</definedName>
    <definedName name="VHT_27NB" localSheetId="34">Table3B.3_27TTS_NB100[[#Totals],[VHT: Total Time in Network (hr)]]</definedName>
    <definedName name="VHT_27NB" localSheetId="42">Table3B.3_27TTS_NB100[[#Totals],[VHT: Total Time in Network (hr)]]</definedName>
    <definedName name="VHT_27NB" localSheetId="44">Table3B.3_27TTS_NB100[[#Totals],[VHT: Total Time in Network (hr)]]</definedName>
    <definedName name="VHT_27NB" localSheetId="4">Table3B.3_27TTS_NB100[[#Totals],[VHT: Total Time in Network (hr)]]</definedName>
    <definedName name="VHT_27NB" localSheetId="6">Table3B.3_27TTS_NB100[[#Totals],[VHT: Total Time in Network (hr)]]</definedName>
    <definedName name="VHT_27NB">Table3B.3_27TTS_NB[[#Totals],[VHT: Total Time in Network (hr)]]</definedName>
    <definedName name="VHT_27PA" localSheetId="26">Table3B.5_27TTS_PA[[#Totals],[VHT: Total Time Within the Network (hr)]]</definedName>
    <definedName name="VHT_27PA" localSheetId="28">Table3B.5_27TTS_PA[[#Totals],[VHT: Total Time Within the Network (hr)]]</definedName>
    <definedName name="VHT_27PA" localSheetId="30">Table3B.5_27TTS_PA[[#Totals],[VHT: Total Time Within the Network (hr)]]</definedName>
    <definedName name="VHT_27PA" localSheetId="31">Table3B.5_27TTS_PA[[#Totals],[VHT: Total Time Within the Network (hr)]]</definedName>
    <definedName name="VHT_27PA" localSheetId="0">Table3B.5_27TTS_PA[[#Totals],[VHT: Total Time Within the Network (hr)]]</definedName>
    <definedName name="VHT_27PA" localSheetId="1">Table3B.5_27TTS_PA[[#Totals],[VHT: Total Time Within the Network (hr)]]</definedName>
    <definedName name="VHT_27PA" localSheetId="39">Table3B.5_27TTS_PA[[#Totals],[VHT: Total Time Within the Network (hr)]]</definedName>
    <definedName name="VHT_27PA" localSheetId="9">Table3B.5_27TTS_PA101[[#Totals],[VHT: Total Time Within the Network (hr)]]</definedName>
    <definedName name="VHT_27PA" localSheetId="36">Table3B.5_27TTS_PA101[[#Totals],[VHT: Total Time Within the Network (hr)]]</definedName>
    <definedName name="VHT_27PA" localSheetId="38">Table3B.5_27TTS_PA101[[#Totals],[VHT: Total Time Within the Network (hr)]]</definedName>
    <definedName name="VHT_27PA" localSheetId="40">Table3B.5_27TTS_PA101[[#Totals],[VHT: Total Time Within the Network (hr)]]</definedName>
    <definedName name="VHT_27PA" localSheetId="10">Table3B.5_27TTS_PA101[[#Totals],[VHT: Total Time Within the Network (hr)]]</definedName>
    <definedName name="VHT_27PA" localSheetId="13">Table3B.5_27TTS_PA101[[#Totals],[VHT: Total Time Within the Network (hr)]]</definedName>
    <definedName name="VHT_27PA" localSheetId="14">Table3B.5_27TTS_PA101[[#Totals],[VHT: Total Time Within the Network (hr)]]</definedName>
    <definedName name="VHT_27PA" localSheetId="19">Table3B.5_27TTS_PA101[[#Totals],[VHT: Total Time Within the Network (hr)]]</definedName>
    <definedName name="VHT_27PA" localSheetId="20">Table3B.5_27TTS_PA101[[#Totals],[VHT: Total Time Within the Network (hr)]]</definedName>
    <definedName name="VHT_27PA" localSheetId="21">Table3B.5_27TTS_PA101[[#Totals],[VHT: Total Time Within the Network (hr)]]</definedName>
    <definedName name="VHT_27PA" localSheetId="34">Table3B.5_27TTS_PA101[[#Totals],[VHT: Total Time Within the Network (hr)]]</definedName>
    <definedName name="VHT_27PA" localSheetId="42">Table3B.5_27TTS_PA101[[#Totals],[VHT: Total Time Within the Network (hr)]]</definedName>
    <definedName name="VHT_27PA" localSheetId="44">Table3B.5_27TTS_PA101[[#Totals],[VHT: Total Time Within the Network (hr)]]</definedName>
    <definedName name="VHT_27PA" localSheetId="4">Table3B.5_27TTS_PA101[[#Totals],[VHT: Total Time Within the Network (hr)]]</definedName>
    <definedName name="VHT_27PA" localSheetId="6">Table3B.5_27TTS_PA101[[#Totals],[VHT: Total Time Within the Network (hr)]]</definedName>
    <definedName name="VHT_27PA">Table3B.5_27TTS_PA[[#Totals],[VHT: Total Time Within the Network (hr)]]</definedName>
    <definedName name="VHT_57NB" localSheetId="26">Table3C.1_57TTS_NB[[#Totals],[VHT: Total Time in Network (hr)]]</definedName>
    <definedName name="VHT_57NB" localSheetId="28">Table3C.1_57TTS_NB[[#Totals],[VHT: Total Time in Network (hr)]]</definedName>
    <definedName name="VHT_57NB" localSheetId="30">Table3C.1_57TTS_NB[[#Totals],[VHT: Total Time in Network (hr)]]</definedName>
    <definedName name="VHT_57NB" localSheetId="31">Table3C.1_57TTS_NB[[#Totals],[VHT: Total Time in Network (hr)]]</definedName>
    <definedName name="VHT_57NB" localSheetId="0">Table3C.1_57TTS_NB[[#Totals],[VHT: Total Time in Network (hr)]]</definedName>
    <definedName name="VHT_57NB" localSheetId="1">Table3C.1_57TTS_NB[[#Totals],[VHT: Total Time in Network (hr)]]</definedName>
    <definedName name="VHT_57NB" localSheetId="39">Table3C.1_57TTS_NB[[#Totals],[VHT: Total Time in Network (hr)]]</definedName>
    <definedName name="VHT_57NB" localSheetId="9">Table3C.1_57TTS_NB105[[#Totals],[VHT: Total Time in Network (hr)]]</definedName>
    <definedName name="VHT_57NB" localSheetId="36">Table3C.1_57TTS_NB105[[#Totals],[VHT: Total Time in Network (hr)]]</definedName>
    <definedName name="VHT_57NB" localSheetId="38">Table3C.1_57TTS_NB105[[#Totals],[VHT: Total Time in Network (hr)]]</definedName>
    <definedName name="VHT_57NB" localSheetId="40">Table3C.1_57TTS_NB105[[#Totals],[VHT: Total Time in Network (hr)]]</definedName>
    <definedName name="VHT_57NB" localSheetId="10">Table3C.1_57TTS_NB105[[#Totals],[VHT: Total Time in Network (hr)]]</definedName>
    <definedName name="VHT_57NB" localSheetId="13">Table3C.1_57TTS_NB105[[#Totals],[VHT: Total Time in Network (hr)]]</definedName>
    <definedName name="VHT_57NB" localSheetId="14">Table3C.1_57TTS_NB105[[#Totals],[VHT: Total Time in Network (hr)]]</definedName>
    <definedName name="VHT_57NB" localSheetId="19">Table3C.1_57TTS_NB105[[#Totals],[VHT: Total Time in Network (hr)]]</definedName>
    <definedName name="VHT_57NB" localSheetId="20">Table3C.1_57TTS_NB105[[#Totals],[VHT: Total Time in Network (hr)]]</definedName>
    <definedName name="VHT_57NB" localSheetId="21">Table3C.1_57TTS_NB105[[#Totals],[VHT: Total Time in Network (hr)]]</definedName>
    <definedName name="VHT_57NB" localSheetId="34">Table3C.1_57TTS_NB105[[#Totals],[VHT: Total Time in Network (hr)]]</definedName>
    <definedName name="VHT_57NB" localSheetId="42">Table3C.1_57TTS_NB105[[#Totals],[VHT: Total Time in Network (hr)]]</definedName>
    <definedName name="VHT_57NB" localSheetId="44">Table3C.1_57TTS_NB105[[#Totals],[VHT: Total Time in Network (hr)]]</definedName>
    <definedName name="VHT_57NB" localSheetId="4">Table3C.1_57TTS_NB105[[#Totals],[VHT: Total Time in Network (hr)]]</definedName>
    <definedName name="VHT_57NB" localSheetId="6">Table3C.1_57TTS_NB105[[#Totals],[VHT: Total Time in Network (hr)]]</definedName>
    <definedName name="VHT_57NB">Table3C.1_57TTS_NB[[#Totals],[VHT: Total Time in Network (hr)]]</definedName>
    <definedName name="VHT_57PA" localSheetId="26">Table3C.3_57TTS_PA[[#Totals],[VHT: Total Time Within the Network (hr)]]</definedName>
    <definedName name="VHT_57PA" localSheetId="28">Table3C.3_57TTS_PA[[#Totals],[VHT: Total Time Within the Network (hr)]]</definedName>
    <definedName name="VHT_57PA" localSheetId="30">Table3C.3_57TTS_PA[[#Totals],[VHT: Total Time Within the Network (hr)]]</definedName>
    <definedName name="VHT_57PA" localSheetId="31">Table3C.3_57TTS_PA[[#Totals],[VHT: Total Time Within the Network (hr)]]</definedName>
    <definedName name="VHT_57PA" localSheetId="0">Table3C.3_57TTS_PA[[#Totals],[VHT: Total Time Within the Network (hr)]]</definedName>
    <definedName name="VHT_57PA" localSheetId="1">Table3C.3_57TTS_PA[[#Totals],[VHT: Total Time Within the Network (hr)]]</definedName>
    <definedName name="VHT_57PA" localSheetId="39">Table3C.3_57TTS_PA[[#Totals],[VHT: Total Time Within the Network (hr)]]</definedName>
    <definedName name="VHT_57PA" localSheetId="9">Table3C.3_57TTS_PA106[[#Totals],[VHT: Total Time Within the Network (hr)]]</definedName>
    <definedName name="VHT_57PA" localSheetId="36">Table3C.3_57TTS_PA106[[#Totals],[VHT: Total Time Within the Network (hr)]]</definedName>
    <definedName name="VHT_57PA" localSheetId="38">Table3C.3_57TTS_PA106[[#Totals],[VHT: Total Time Within the Network (hr)]]</definedName>
    <definedName name="VHT_57PA" localSheetId="40">Table3C.3_57TTS_PA106[[#Totals],[VHT: Total Time Within the Network (hr)]]</definedName>
    <definedName name="VHT_57PA" localSheetId="10">Table3C.3_57TTS_PA106[[#Totals],[VHT: Total Time Within the Network (hr)]]</definedName>
    <definedName name="VHT_57PA" localSheetId="13">Table3C.3_57TTS_PA106[[#Totals],[VHT: Total Time Within the Network (hr)]]</definedName>
    <definedName name="VHT_57PA" localSheetId="14">Table3C.3_57TTS_PA106[[#Totals],[VHT: Total Time Within the Network (hr)]]</definedName>
    <definedName name="VHT_57PA" localSheetId="19">Table3C.3_57TTS_PA106[[#Totals],[VHT: Total Time Within the Network (hr)]]</definedName>
    <definedName name="VHT_57PA" localSheetId="20">Table3C.3_57TTS_PA106[[#Totals],[VHT: Total Time Within the Network (hr)]]</definedName>
    <definedName name="VHT_57PA" localSheetId="21">Table3C.3_57TTS_PA106[[#Totals],[VHT: Total Time Within the Network (hr)]]</definedName>
    <definedName name="VHT_57PA" localSheetId="34">Table3C.3_57TTS_PA106[[#Totals],[VHT: Total Time Within the Network (hr)]]</definedName>
    <definedName name="VHT_57PA" localSheetId="42">Table3C.3_57TTS_PA106[[#Totals],[VHT: Total Time Within the Network (hr)]]</definedName>
    <definedName name="VHT_57PA" localSheetId="44">Table3C.3_57TTS_PA106[[#Totals],[VHT: Total Time Within the Network (hr)]]</definedName>
    <definedName name="VHT_57PA" localSheetId="4">Table3C.3_57TTS_PA106[[#Totals],[VHT: Total Time Within the Network (hr)]]</definedName>
    <definedName name="VHT_57PA" localSheetId="6">Table3C.3_57TTS_PA106[[#Totals],[VHT: Total Time Within the Network (hr)]]</definedName>
    <definedName name="VHT_57PA">Table3C.3_57TTS_PA[[#Totals],[VHT: Total Time Within the Network (hr)]]</definedName>
    <definedName name="VHTChange_NB" localSheetId="9">'Q_3. Travel Time Benefits'!$E$27</definedName>
    <definedName name="VHTChange_NB" localSheetId="36">'Q_3. Travel Time Benefits'!$E$27</definedName>
    <definedName name="VHTChange_NB" localSheetId="38">'Q_3. Travel Time Benefits'!$E$27</definedName>
    <definedName name="VHTChange_NB" localSheetId="40">'Q_3. Travel Time Benefits'!$E$27</definedName>
    <definedName name="VHTChange_NB" localSheetId="10">'Q_3. Travel Time Benefits'!$E$27</definedName>
    <definedName name="VHTChange_NB" localSheetId="13">'Q_3. Travel Time Benefits'!$E$27</definedName>
    <definedName name="VHTChange_NB" localSheetId="14">'Q_3. Travel Time Benefits'!$E$27</definedName>
    <definedName name="VHTChange_NB" localSheetId="19">'Q_3. Travel Time Benefits'!$E$27</definedName>
    <definedName name="VHTChange_NB" localSheetId="20">'Q_3. Travel Time Benefits'!$E$27</definedName>
    <definedName name="VHTChange_NB" localSheetId="21">'Q_3. Travel Time Benefits'!$E$27</definedName>
    <definedName name="VHTChange_NB" localSheetId="34">'Q_3. Travel Time Benefits'!$E$27</definedName>
    <definedName name="VHTChange_NB" localSheetId="42">'Q_3. Travel Time Benefits'!$E$27</definedName>
    <definedName name="VHTChange_NB" localSheetId="44">'Q_3. Travel Time Benefits'!$E$27</definedName>
    <definedName name="VHTChange_NB" localSheetId="4">'Q_3. Travel Time Benefits'!$E$27</definedName>
    <definedName name="VHTChange_NB" localSheetId="6">'Q_3. Travel Time Benefits'!$E$27</definedName>
    <definedName name="VHTChange_NB">'MM_3. Travel Time Benefits'!$E$27</definedName>
    <definedName name="VHTChange_PA" localSheetId="9">'Q_3. Travel Time Benefits'!$E$28</definedName>
    <definedName name="VHTChange_PA" localSheetId="36">'Q_3. Travel Time Benefits'!$E$28</definedName>
    <definedName name="VHTChange_PA" localSheetId="38">'Q_3. Travel Time Benefits'!$E$28</definedName>
    <definedName name="VHTChange_PA" localSheetId="40">'Q_3. Travel Time Benefits'!$E$28</definedName>
    <definedName name="VHTChange_PA" localSheetId="10">'Q_3. Travel Time Benefits'!$E$28</definedName>
    <definedName name="VHTChange_PA" localSheetId="13">'Q_3. Travel Time Benefits'!$E$28</definedName>
    <definedName name="VHTChange_PA" localSheetId="14">'Q_3. Travel Time Benefits'!$E$28</definedName>
    <definedName name="VHTChange_PA" localSheetId="19">'Q_3. Travel Time Benefits'!$E$28</definedName>
    <definedName name="VHTChange_PA" localSheetId="20">'Q_3. Travel Time Benefits'!$E$28</definedName>
    <definedName name="VHTChange_PA" localSheetId="21">'Q_3. Travel Time Benefits'!$E$28</definedName>
    <definedName name="VHTChange_PA" localSheetId="34">'Q_3. Travel Time Benefits'!$E$28</definedName>
    <definedName name="VHTChange_PA" localSheetId="42">'Q_3. Travel Time Benefits'!$E$28</definedName>
    <definedName name="VHTChange_PA" localSheetId="44">'Q_3. Travel Time Benefits'!$E$28</definedName>
    <definedName name="VHTChange_PA" localSheetId="4">'Q_3. Travel Time Benefits'!$E$28</definedName>
    <definedName name="VHTChange_PA" localSheetId="6">'Q_3. Travel Time Benefits'!$E$28</definedName>
    <definedName name="VHTChange_PA">'MM_3. Travel Time Benefits'!$E$28</definedName>
    <definedName name="VMT_27NB" localSheetId="26">Table3B.3_27TTS_NB[[#Totals],[VMT: Total Path Distance (mi)]]</definedName>
    <definedName name="VMT_27NB" localSheetId="28">Table3B.3_27TTS_NB[[#Totals],[VMT: Total Path Distance (mi)]]</definedName>
    <definedName name="VMT_27NB" localSheetId="30">Table3B.3_27TTS_NB[[#Totals],[VMT: Total Path Distance (mi)]]</definedName>
    <definedName name="VMT_27NB" localSheetId="31">Table3B.3_27TTS_NB[[#Totals],[VMT: Total Path Distance (mi)]]</definedName>
    <definedName name="VMT_27NB" localSheetId="0">Table3B.3_27TTS_NB[[#Totals],[VMT: Total Path Distance (mi)]]</definedName>
    <definedName name="VMT_27NB" localSheetId="1">Table3B.3_27TTS_NB[[#Totals],[VMT: Total Path Distance (mi)]]</definedName>
    <definedName name="VMT_27NB" localSheetId="39">Table3B.3_27TTS_NB[[#Totals],[VMT: Total Path Distance (mi)]]</definedName>
    <definedName name="VMT_27NB" localSheetId="9">Table3B.3_27TTS_NB100[[#Totals],[VMT: Total Path Distance (mi)]]</definedName>
    <definedName name="VMT_27NB" localSheetId="36">Table3B.3_27TTS_NB100[[#Totals],[VMT: Total Path Distance (mi)]]</definedName>
    <definedName name="VMT_27NB" localSheetId="38">Table3B.3_27TTS_NB100[[#Totals],[VMT: Total Path Distance (mi)]]</definedName>
    <definedName name="VMT_27NB" localSheetId="40">Table3B.3_27TTS_NB100[[#Totals],[VMT: Total Path Distance (mi)]]</definedName>
    <definedName name="VMT_27NB" localSheetId="10">Table3B.3_27TTS_NB100[[#Totals],[VMT: Total Path Distance (mi)]]</definedName>
    <definedName name="VMT_27NB" localSheetId="13">Table3B.3_27TTS_NB100[[#Totals],[VMT: Total Path Distance (mi)]]</definedName>
    <definedName name="VMT_27NB" localSheetId="14">Table3B.3_27TTS_NB100[[#Totals],[VMT: Total Path Distance (mi)]]</definedName>
    <definedName name="VMT_27NB" localSheetId="19">Table3B.3_27TTS_NB100[[#Totals],[VMT: Total Path Distance (mi)]]</definedName>
    <definedName name="VMT_27NB" localSheetId="20">Table3B.3_27TTS_NB100[[#Totals],[VMT: Total Path Distance (mi)]]</definedName>
    <definedName name="VMT_27NB" localSheetId="21">Table3B.3_27TTS_NB100[[#Totals],[VMT: Total Path Distance (mi)]]</definedName>
    <definedName name="VMT_27NB" localSheetId="34">Table3B.3_27TTS_NB100[[#Totals],[VMT: Total Path Distance (mi)]]</definedName>
    <definedName name="VMT_27NB" localSheetId="42">Table3B.3_27TTS_NB100[[#Totals],[VMT: Total Path Distance (mi)]]</definedName>
    <definedName name="VMT_27NB" localSheetId="44">Table3B.3_27TTS_NB100[[#Totals],[VMT: Total Path Distance (mi)]]</definedName>
    <definedName name="VMT_27NB" localSheetId="4">Table3B.3_27TTS_NB100[[#Totals],[VMT: Total Path Distance (mi)]]</definedName>
    <definedName name="VMT_27NB" localSheetId="6">Table3B.3_27TTS_NB100[[#Totals],[VMT: Total Path Distance (mi)]]</definedName>
    <definedName name="VMT_27NB">Table3B.3_27TTS_NB[[#Totals],[VMT: Total Path Distance (mi)]]</definedName>
    <definedName name="VMT_27PA" localSheetId="26">Table3B.5_27TTS_PA[[#Totals],[VMT: Total Path Distance (mi)]]</definedName>
    <definedName name="VMT_27PA" localSheetId="28">Table3B.5_27TTS_PA[[#Totals],[VMT: Total Path Distance (mi)]]</definedName>
    <definedName name="VMT_27PA" localSheetId="30">Table3B.5_27TTS_PA[[#Totals],[VMT: Total Path Distance (mi)]]</definedName>
    <definedName name="VMT_27PA" localSheetId="31">Table3B.5_27TTS_PA[[#Totals],[VMT: Total Path Distance (mi)]]</definedName>
    <definedName name="VMT_27PA" localSheetId="0">Table3B.5_27TTS_PA[[#Totals],[VMT: Total Path Distance (mi)]]</definedName>
    <definedName name="VMT_27PA" localSheetId="1">Table3B.5_27TTS_PA[[#Totals],[VMT: Total Path Distance (mi)]]</definedName>
    <definedName name="VMT_27PA" localSheetId="39">Table3B.5_27TTS_PA[[#Totals],[VMT: Total Path Distance (mi)]]</definedName>
    <definedName name="VMT_27PA" localSheetId="9">Table3B.5_27TTS_PA101[[#Totals],[VMT: Total Path Distance (mi)]]</definedName>
    <definedName name="VMT_27PA" localSheetId="36">Table3B.5_27TTS_PA101[[#Totals],[VMT: Total Path Distance (mi)]]</definedName>
    <definedName name="VMT_27PA" localSheetId="38">Table3B.5_27TTS_PA101[[#Totals],[VMT: Total Path Distance (mi)]]</definedName>
    <definedName name="VMT_27PA" localSheetId="40">Table3B.5_27TTS_PA101[[#Totals],[VMT: Total Path Distance (mi)]]</definedName>
    <definedName name="VMT_27PA" localSheetId="10">Table3B.5_27TTS_PA101[[#Totals],[VMT: Total Path Distance (mi)]]</definedName>
    <definedName name="VMT_27PA" localSheetId="13">Table3B.5_27TTS_PA101[[#Totals],[VMT: Total Path Distance (mi)]]</definedName>
    <definedName name="VMT_27PA" localSheetId="14">Table3B.5_27TTS_PA101[[#Totals],[VMT: Total Path Distance (mi)]]</definedName>
    <definedName name="VMT_27PA" localSheetId="19">Table3B.5_27TTS_PA101[[#Totals],[VMT: Total Path Distance (mi)]]</definedName>
    <definedName name="VMT_27PA" localSheetId="20">Table3B.5_27TTS_PA101[[#Totals],[VMT: Total Path Distance (mi)]]</definedName>
    <definedName name="VMT_27PA" localSheetId="21">Table3B.5_27TTS_PA101[[#Totals],[VMT: Total Path Distance (mi)]]</definedName>
    <definedName name="VMT_27PA" localSheetId="34">Table3B.5_27TTS_PA101[[#Totals],[VMT: Total Path Distance (mi)]]</definedName>
    <definedName name="VMT_27PA" localSheetId="42">Table3B.5_27TTS_PA101[[#Totals],[VMT: Total Path Distance (mi)]]</definedName>
    <definedName name="VMT_27PA" localSheetId="44">Table3B.5_27TTS_PA101[[#Totals],[VMT: Total Path Distance (mi)]]</definedName>
    <definedName name="VMT_27PA" localSheetId="4">Table3B.5_27TTS_PA101[[#Totals],[VMT: Total Path Distance (mi)]]</definedName>
    <definedName name="VMT_27PA" localSheetId="6">Table3B.5_27TTS_PA101[[#Totals],[VMT: Total Path Distance (mi)]]</definedName>
    <definedName name="VMT_27PA">Table3B.5_27TTS_PA[[#Totals],[VMT: Total Path Distance (mi)]]</definedName>
    <definedName name="VMT_57NB" localSheetId="26">Table3C.1_57TTS_NB[[#Totals],[VMT: Total Path Distance (mi)]]</definedName>
    <definedName name="VMT_57NB" localSheetId="28">Table3C.1_57TTS_NB[[#Totals],[VMT: Total Path Distance (mi)]]</definedName>
    <definedName name="VMT_57NB" localSheetId="30">Table3C.1_57TTS_NB[[#Totals],[VMT: Total Path Distance (mi)]]</definedName>
    <definedName name="VMT_57NB" localSheetId="31">Table3C.1_57TTS_NB[[#Totals],[VMT: Total Path Distance (mi)]]</definedName>
    <definedName name="VMT_57NB" localSheetId="0">Table3C.1_57TTS_NB[[#Totals],[VMT: Total Path Distance (mi)]]</definedName>
    <definedName name="VMT_57NB" localSheetId="1">Table3C.1_57TTS_NB[[#Totals],[VMT: Total Path Distance (mi)]]</definedName>
    <definedName name="VMT_57NB" localSheetId="39">Table3C.1_57TTS_NB[[#Totals],[VMT: Total Path Distance (mi)]]</definedName>
    <definedName name="VMT_57NB" localSheetId="9">Table3C.1_57TTS_NB105[[#Totals],[VMT: Total Path Distance (mi)]]</definedName>
    <definedName name="VMT_57NB" localSheetId="36">Table3C.1_57TTS_NB105[[#Totals],[VMT: Total Path Distance (mi)]]</definedName>
    <definedName name="VMT_57NB" localSheetId="38">Table3C.1_57TTS_NB105[[#Totals],[VMT: Total Path Distance (mi)]]</definedName>
    <definedName name="VMT_57NB" localSheetId="40">Table3C.1_57TTS_NB105[[#Totals],[VMT: Total Path Distance (mi)]]</definedName>
    <definedName name="VMT_57NB" localSheetId="10">Table3C.1_57TTS_NB105[[#Totals],[VMT: Total Path Distance (mi)]]</definedName>
    <definedName name="VMT_57NB" localSheetId="13">Table3C.1_57TTS_NB105[[#Totals],[VMT: Total Path Distance (mi)]]</definedName>
    <definedName name="VMT_57NB" localSheetId="14">Table3C.1_57TTS_NB105[[#Totals],[VMT: Total Path Distance (mi)]]</definedName>
    <definedName name="VMT_57NB" localSheetId="19">Table3C.1_57TTS_NB105[[#Totals],[VMT: Total Path Distance (mi)]]</definedName>
    <definedName name="VMT_57NB" localSheetId="20">Table3C.1_57TTS_NB105[[#Totals],[VMT: Total Path Distance (mi)]]</definedName>
    <definedName name="VMT_57NB" localSheetId="21">Table3C.1_57TTS_NB105[[#Totals],[VMT: Total Path Distance (mi)]]</definedName>
    <definedName name="VMT_57NB" localSheetId="34">Table3C.1_57TTS_NB105[[#Totals],[VMT: Total Path Distance (mi)]]</definedName>
    <definedName name="VMT_57NB" localSheetId="42">Table3C.1_57TTS_NB105[[#Totals],[VMT: Total Path Distance (mi)]]</definedName>
    <definedName name="VMT_57NB" localSheetId="44">Table3C.1_57TTS_NB105[[#Totals],[VMT: Total Path Distance (mi)]]</definedName>
    <definedName name="VMT_57NB" localSheetId="4">Table3C.1_57TTS_NB105[[#Totals],[VMT: Total Path Distance (mi)]]</definedName>
    <definedName name="VMT_57NB" localSheetId="6">Table3C.1_57TTS_NB105[[#Totals],[VMT: Total Path Distance (mi)]]</definedName>
    <definedName name="VMT_57NB">Table3C.1_57TTS_NB[[#Totals],[VMT: Total Path Distance (mi)]]</definedName>
    <definedName name="VMT_57PA" localSheetId="26">Table3C.3_57TTS_PA[[#Totals],[VMT: Total Path Distance (mi)]]</definedName>
    <definedName name="VMT_57PA" localSheetId="28">Table3C.3_57TTS_PA[[#Totals],[VMT: Total Path Distance (mi)]]</definedName>
    <definedName name="VMT_57PA" localSheetId="30">Table3C.3_57TTS_PA[[#Totals],[VMT: Total Path Distance (mi)]]</definedName>
    <definedName name="VMT_57PA" localSheetId="31">Table3C.3_57TTS_PA[[#Totals],[VMT: Total Path Distance (mi)]]</definedName>
    <definedName name="VMT_57PA" localSheetId="0">Table3C.3_57TTS_PA[[#Totals],[VMT: Total Path Distance (mi)]]</definedName>
    <definedName name="VMT_57PA" localSheetId="1">Table3C.3_57TTS_PA[[#Totals],[VMT: Total Path Distance (mi)]]</definedName>
    <definedName name="VMT_57PA" localSheetId="39">Table3C.3_57TTS_PA[[#Totals],[VMT: Total Path Distance (mi)]]</definedName>
    <definedName name="VMT_57PA" localSheetId="9">Table3C.3_57TTS_PA106[[#Totals],[VMT: Total Path Distance (mi)]]</definedName>
    <definedName name="VMT_57PA" localSheetId="36">Table3C.3_57TTS_PA106[[#Totals],[VMT: Total Path Distance (mi)]]</definedName>
    <definedName name="VMT_57PA" localSheetId="38">Table3C.3_57TTS_PA106[[#Totals],[VMT: Total Path Distance (mi)]]</definedName>
    <definedName name="VMT_57PA" localSheetId="40">Table3C.3_57TTS_PA106[[#Totals],[VMT: Total Path Distance (mi)]]</definedName>
    <definedName name="VMT_57PA" localSheetId="10">Table3C.3_57TTS_PA106[[#Totals],[VMT: Total Path Distance (mi)]]</definedName>
    <definedName name="VMT_57PA" localSheetId="13">Table3C.3_57TTS_PA106[[#Totals],[VMT: Total Path Distance (mi)]]</definedName>
    <definedName name="VMT_57PA" localSheetId="14">Table3C.3_57TTS_PA106[[#Totals],[VMT: Total Path Distance (mi)]]</definedName>
    <definedName name="VMT_57PA" localSheetId="19">Table3C.3_57TTS_PA106[[#Totals],[VMT: Total Path Distance (mi)]]</definedName>
    <definedName name="VMT_57PA" localSheetId="20">Table3C.3_57TTS_PA106[[#Totals],[VMT: Total Path Distance (mi)]]</definedName>
    <definedName name="VMT_57PA" localSheetId="21">Table3C.3_57TTS_PA106[[#Totals],[VMT: Total Path Distance (mi)]]</definedName>
    <definedName name="VMT_57PA" localSheetId="34">Table3C.3_57TTS_PA106[[#Totals],[VMT: Total Path Distance (mi)]]</definedName>
    <definedName name="VMT_57PA" localSheetId="42">Table3C.3_57TTS_PA106[[#Totals],[VMT: Total Path Distance (mi)]]</definedName>
    <definedName name="VMT_57PA" localSheetId="44">Table3C.3_57TTS_PA106[[#Totals],[VMT: Total Path Distance (mi)]]</definedName>
    <definedName name="VMT_57PA" localSheetId="4">Table3C.3_57TTS_PA106[[#Totals],[VMT: Total Path Distance (mi)]]</definedName>
    <definedName name="VMT_57PA" localSheetId="6">Table3C.3_57TTS_PA106[[#Totals],[VMT: Total Path Distance (mi)]]</definedName>
    <definedName name="VMT_57PA">Table3C.3_57TTS_PA[[#Totals],[VMT: Total Path Distance (mi)]]</definedName>
    <definedName name="VMTChange_NB" localSheetId="9">'Q_3. Travel Time Benefits'!$D$27</definedName>
    <definedName name="VMTChange_NB" localSheetId="36">'Q_3. Travel Time Benefits'!$D$27</definedName>
    <definedName name="VMTChange_NB" localSheetId="38">'Q_3. Travel Time Benefits'!$D$27</definedName>
    <definedName name="VMTChange_NB" localSheetId="40">'Q_3. Travel Time Benefits'!$D$27</definedName>
    <definedName name="VMTChange_NB" localSheetId="10">'Q_3. Travel Time Benefits'!$D$27</definedName>
    <definedName name="VMTChange_NB" localSheetId="13">'Q_3. Travel Time Benefits'!$D$27</definedName>
    <definedName name="VMTChange_NB" localSheetId="14">'Q_3. Travel Time Benefits'!$D$27</definedName>
    <definedName name="VMTChange_NB" localSheetId="19">'Q_3. Travel Time Benefits'!$D$27</definedName>
    <definedName name="VMTChange_NB" localSheetId="20">'Q_3. Travel Time Benefits'!$D$27</definedName>
    <definedName name="VMTChange_NB" localSheetId="21">'Q_3. Travel Time Benefits'!$D$27</definedName>
    <definedName name="VMTChange_NB" localSheetId="34">'Q_3. Travel Time Benefits'!$D$27</definedName>
    <definedName name="VMTChange_NB" localSheetId="42">'Q_3. Travel Time Benefits'!$D$27</definedName>
    <definedName name="VMTChange_NB" localSheetId="44">'Q_3. Travel Time Benefits'!$D$27</definedName>
    <definedName name="VMTChange_NB" localSheetId="4">'Q_3. Travel Time Benefits'!$D$27</definedName>
    <definedName name="VMTChange_NB" localSheetId="6">'Q_3. Travel Time Benefits'!$D$27</definedName>
    <definedName name="VMTChange_NB">'MM_3. Travel Time Benefits'!$D$27</definedName>
    <definedName name="VMTChange_PA" localSheetId="9">'Q_3. Travel Time Benefits'!$D$28</definedName>
    <definedName name="VMTChange_PA" localSheetId="36">'Q_3. Travel Time Benefits'!$D$28</definedName>
    <definedName name="VMTChange_PA" localSheetId="38">'Q_3. Travel Time Benefits'!$D$28</definedName>
    <definedName name="VMTChange_PA" localSheetId="40">'Q_3. Travel Time Benefits'!$D$28</definedName>
    <definedName name="VMTChange_PA" localSheetId="10">'Q_3. Travel Time Benefits'!$D$28</definedName>
    <definedName name="VMTChange_PA" localSheetId="13">'Q_3. Travel Time Benefits'!$D$28</definedName>
    <definedName name="VMTChange_PA" localSheetId="14">'Q_3. Travel Time Benefits'!$D$28</definedName>
    <definedName name="VMTChange_PA" localSheetId="19">'Q_3. Travel Time Benefits'!$D$28</definedName>
    <definedName name="VMTChange_PA" localSheetId="20">'Q_3. Travel Time Benefits'!$D$28</definedName>
    <definedName name="VMTChange_PA" localSheetId="21">'Q_3. Travel Time Benefits'!$D$28</definedName>
    <definedName name="VMTChange_PA" localSheetId="34">'Q_3. Travel Time Benefits'!$D$28</definedName>
    <definedName name="VMTChange_PA" localSheetId="42">'Q_3. Travel Time Benefits'!$D$28</definedName>
    <definedName name="VMTChange_PA" localSheetId="44">'Q_3. Travel Time Benefits'!$D$28</definedName>
    <definedName name="VMTChange_PA" localSheetId="4">'Q_3. Travel Time Benefits'!$D$28</definedName>
    <definedName name="VMTChange_PA" localSheetId="6">'Q_3. Travel Time Benefits'!$D$28</definedName>
    <definedName name="VMTChange_PA">'MM_3. Travel Time Benefits'!$D$28</definedName>
    <definedName name="Years_All" localSheetId="26">Table39[Year]</definedName>
    <definedName name="Years_All" localSheetId="28">Table39[Year]</definedName>
    <definedName name="Years_All" localSheetId="30">Table39[Year]</definedName>
    <definedName name="Years_All" localSheetId="31">Table39[Year]</definedName>
    <definedName name="Years_All" localSheetId="0">Table39[Year]</definedName>
    <definedName name="Years_All" localSheetId="1">Table39[Year]</definedName>
    <definedName name="Years_All" localSheetId="39">Table39[Year]</definedName>
    <definedName name="Years_All" localSheetId="9">Table39132[Year]</definedName>
    <definedName name="Years_All" localSheetId="36">Table39132[Year]</definedName>
    <definedName name="Years_All" localSheetId="38">Table39132[Year]</definedName>
    <definedName name="Years_All" localSheetId="40">Table39132[Year]</definedName>
    <definedName name="Years_All" localSheetId="10">Table39132[Year]</definedName>
    <definedName name="Years_All" localSheetId="13">Table39132[Year]</definedName>
    <definedName name="Years_All" localSheetId="14">Table39132[Year]</definedName>
    <definedName name="Years_All" localSheetId="19">Table39132[Year]</definedName>
    <definedName name="Years_All" localSheetId="20">Table39132[Year]</definedName>
    <definedName name="Years_All" localSheetId="21">Table39132[Year]</definedName>
    <definedName name="Years_All" localSheetId="34">Table39132[Year]</definedName>
    <definedName name="Years_All" localSheetId="42">Table39132[Year]</definedName>
    <definedName name="Years_All" localSheetId="44">Table39132[Year]</definedName>
    <definedName name="Years_All" localSheetId="4">Table39132[Year]</definedName>
    <definedName name="Years_All" localSheetId="6">Table39132[Year]</definedName>
    <definedName name="Years_All">Table39[Year]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0" i="47" l="1"/>
  <c r="I40" i="47"/>
  <c r="H34" i="57"/>
  <c r="H34" i="6"/>
  <c r="F18" i="53"/>
  <c r="F19" i="53"/>
  <c r="F20" i="53"/>
  <c r="F21" i="53"/>
  <c r="F22" i="53"/>
  <c r="F23" i="53"/>
  <c r="F24" i="53"/>
  <c r="F25" i="53"/>
  <c r="F26" i="53"/>
  <c r="F27" i="53"/>
  <c r="F28" i="53"/>
  <c r="F29" i="53"/>
  <c r="F30" i="53"/>
  <c r="F31" i="53"/>
  <c r="F32" i="53"/>
  <c r="F33" i="53"/>
  <c r="F34" i="53"/>
  <c r="F35" i="53"/>
  <c r="F36" i="53"/>
  <c r="F37" i="53"/>
  <c r="F38" i="53"/>
  <c r="F39" i="53"/>
  <c r="F40" i="53"/>
  <c r="F41" i="53"/>
  <c r="F42" i="53"/>
  <c r="F43" i="53"/>
  <c r="F44" i="53"/>
  <c r="F45" i="53"/>
  <c r="F46" i="53"/>
  <c r="F47" i="53"/>
  <c r="F17" i="53"/>
  <c r="F18" i="26"/>
  <c r="F19" i="26"/>
  <c r="F20" i="26"/>
  <c r="F21" i="26"/>
  <c r="F22" i="26"/>
  <c r="F23" i="26"/>
  <c r="F24" i="26"/>
  <c r="F25" i="26"/>
  <c r="F26" i="26"/>
  <c r="F27" i="26"/>
  <c r="F28" i="26"/>
  <c r="F29" i="26"/>
  <c r="F30" i="26"/>
  <c r="F31" i="26"/>
  <c r="F32" i="26"/>
  <c r="F33" i="26"/>
  <c r="F34" i="26"/>
  <c r="F35" i="26"/>
  <c r="F36" i="26"/>
  <c r="F37" i="26"/>
  <c r="F38" i="26"/>
  <c r="F39" i="26"/>
  <c r="F40" i="26"/>
  <c r="F41" i="26"/>
  <c r="F42" i="26"/>
  <c r="F43" i="26"/>
  <c r="F44" i="26"/>
  <c r="F45" i="26"/>
  <c r="F46" i="26"/>
  <c r="F47" i="26"/>
  <c r="F17" i="26"/>
  <c r="I39" i="63"/>
  <c r="G39" i="47"/>
  <c r="C20" i="62"/>
  <c r="I68" i="4" l="1" a="1"/>
  <c r="I68" i="4" s="1"/>
  <c r="H22" i="67" l="1"/>
  <c r="H21" i="67"/>
  <c r="H20" i="67"/>
  <c r="H19" i="67"/>
  <c r="H12" i="67"/>
  <c r="H13" i="67"/>
  <c r="H21" i="26"/>
  <c r="H52" i="26" s="1"/>
  <c r="H22" i="26"/>
  <c r="H23" i="26"/>
  <c r="H24" i="26"/>
  <c r="H16" i="26"/>
  <c r="H17" i="26"/>
  <c r="H18" i="26"/>
  <c r="H19" i="26"/>
  <c r="H20" i="26"/>
  <c r="H15" i="26"/>
  <c r="H14" i="26"/>
  <c r="H13" i="26"/>
  <c r="H12" i="26"/>
  <c r="H20" i="53"/>
  <c r="H19" i="53"/>
  <c r="H13" i="53"/>
  <c r="C21" i="62"/>
  <c r="C21" i="10"/>
  <c r="B127" i="60"/>
  <c r="C15" i="10"/>
  <c r="H22" i="17" l="1"/>
  <c r="G22" i="17"/>
  <c r="F22" i="17"/>
  <c r="E22" i="17"/>
  <c r="D22" i="17"/>
  <c r="C22" i="17"/>
  <c r="H52" i="17"/>
  <c r="G52" i="17"/>
  <c r="F52" i="17"/>
  <c r="E52" i="17"/>
  <c r="D52" i="17"/>
  <c r="C52" i="17"/>
  <c r="H63" i="17"/>
  <c r="G63" i="17"/>
  <c r="F63" i="17"/>
  <c r="E63" i="17"/>
  <c r="D63" i="17"/>
  <c r="C63" i="17"/>
  <c r="H93" i="17"/>
  <c r="G93" i="17"/>
  <c r="F93" i="17"/>
  <c r="E93" i="17"/>
  <c r="D93" i="17"/>
  <c r="C93" i="17"/>
  <c r="H93" i="56"/>
  <c r="G93" i="56"/>
  <c r="F93" i="56"/>
  <c r="E93" i="56"/>
  <c r="D93" i="56"/>
  <c r="C93" i="56"/>
  <c r="H63" i="56"/>
  <c r="G63" i="56"/>
  <c r="F63" i="56"/>
  <c r="E63" i="56"/>
  <c r="D63" i="56"/>
  <c r="C63" i="56"/>
  <c r="H52" i="56"/>
  <c r="G52" i="56"/>
  <c r="F52" i="56"/>
  <c r="E52" i="56"/>
  <c r="D52" i="56"/>
  <c r="C52" i="56"/>
  <c r="H22" i="56"/>
  <c r="G22" i="56"/>
  <c r="F22" i="56"/>
  <c r="E22" i="56"/>
  <c r="D22" i="56"/>
  <c r="C22" i="56"/>
  <c r="C15" i="62"/>
  <c r="G22" i="62" l="1"/>
  <c r="B31" i="62" l="1"/>
  <c r="H17" i="53" s="1"/>
  <c r="H17" i="67" s="1"/>
  <c r="B28" i="62"/>
  <c r="H14" i="53" s="1"/>
  <c r="B32" i="62"/>
  <c r="H18" i="53" s="1"/>
  <c r="H18" i="67" s="1"/>
  <c r="B30" i="62"/>
  <c r="H16" i="53" s="1"/>
  <c r="H16" i="67" s="1"/>
  <c r="B29" i="62"/>
  <c r="H15" i="53" s="1"/>
  <c r="H15" i="67" s="1"/>
  <c r="D38" i="4"/>
  <c r="D37" i="4"/>
  <c r="D36" i="4"/>
  <c r="D35" i="4"/>
  <c r="D34" i="4"/>
  <c r="D22" i="4"/>
  <c r="D21" i="4"/>
  <c r="D20" i="4"/>
  <c r="D19" i="4"/>
  <c r="D18" i="4"/>
  <c r="H14" i="67" l="1"/>
  <c r="H52" i="53"/>
  <c r="H52" i="67" s="1"/>
  <c r="G17" i="63" l="1"/>
  <c r="G20" i="63"/>
  <c r="G21" i="63"/>
  <c r="G22" i="63"/>
  <c r="G23" i="63"/>
  <c r="G24" i="63"/>
  <c r="G25" i="63"/>
  <c r="G26" i="63"/>
  <c r="G27" i="63"/>
  <c r="G28" i="63"/>
  <c r="F17" i="63"/>
  <c r="F18" i="63"/>
  <c r="G18" i="63" s="1"/>
  <c r="F19" i="63"/>
  <c r="G19" i="63" s="1"/>
  <c r="F20" i="63"/>
  <c r="F21" i="63"/>
  <c r="F22" i="63"/>
  <c r="F23" i="63"/>
  <c r="F24" i="63"/>
  <c r="F25" i="63"/>
  <c r="F26" i="63"/>
  <c r="F27" i="63"/>
  <c r="F28" i="63"/>
  <c r="G17" i="47"/>
  <c r="G18" i="47"/>
  <c r="G19" i="47"/>
  <c r="G20" i="47"/>
  <c r="G21" i="47"/>
  <c r="G22" i="47"/>
  <c r="G23" i="47"/>
  <c r="G24" i="47"/>
  <c r="G25" i="47"/>
  <c r="G26" i="47"/>
  <c r="G27" i="47"/>
  <c r="G28" i="47"/>
  <c r="F17" i="47" l="1"/>
  <c r="F18" i="47"/>
  <c r="F19" i="47"/>
  <c r="F20" i="47"/>
  <c r="F21" i="47"/>
  <c r="F22" i="47"/>
  <c r="F23" i="47"/>
  <c r="F24" i="47"/>
  <c r="F25" i="47"/>
  <c r="F26" i="47"/>
  <c r="F27" i="47"/>
  <c r="F28" i="47"/>
  <c r="C25" i="68"/>
  <c r="C26" i="68" s="1"/>
  <c r="C27" i="68" s="1"/>
  <c r="C28" i="68" s="1"/>
  <c r="C29" i="68" s="1"/>
  <c r="C30" i="68" s="1"/>
  <c r="C31" i="68" s="1"/>
  <c r="C32" i="68" s="1"/>
  <c r="C33" i="68" s="1"/>
  <c r="C34" i="68" s="1"/>
  <c r="C35" i="68" s="1"/>
  <c r="C36" i="68" s="1"/>
  <c r="C37" i="68" s="1"/>
  <c r="C38" i="68" s="1"/>
  <c r="C39" i="68" s="1"/>
  <c r="C40" i="68" s="1"/>
  <c r="C41" i="68" s="1"/>
  <c r="C42" i="68" s="1"/>
  <c r="C43" i="68" s="1"/>
  <c r="C44" i="68" s="1"/>
  <c r="C45" i="68" s="1"/>
  <c r="C46" i="68" s="1"/>
  <c r="C47" i="68" s="1"/>
  <c r="C48" i="68" s="1"/>
  <c r="C49" i="68" s="1"/>
  <c r="C50" i="68" s="1"/>
  <c r="C51" i="68" s="1"/>
  <c r="C52" i="68" s="1"/>
  <c r="C53" i="68" s="1"/>
  <c r="C54" i="68" s="1"/>
  <c r="C55" i="68" s="1"/>
  <c r="C56" i="68" s="1"/>
  <c r="C57" i="68" s="1"/>
  <c r="C58" i="68" s="1"/>
  <c r="C59" i="68" s="1"/>
  <c r="B4" i="68"/>
  <c r="B2" i="68"/>
  <c r="C93" i="67"/>
  <c r="C92" i="67"/>
  <c r="C91" i="67"/>
  <c r="C90" i="67"/>
  <c r="C89" i="67"/>
  <c r="C88" i="67"/>
  <c r="C87" i="67"/>
  <c r="C86" i="67"/>
  <c r="C85" i="67"/>
  <c r="C84" i="67"/>
  <c r="C83" i="67"/>
  <c r="C82" i="67"/>
  <c r="C81" i="67"/>
  <c r="C80" i="67"/>
  <c r="C79" i="67"/>
  <c r="C78" i="67"/>
  <c r="C77" i="67"/>
  <c r="C76" i="67"/>
  <c r="C75" i="67"/>
  <c r="C74" i="67"/>
  <c r="C73" i="67"/>
  <c r="C72" i="67"/>
  <c r="C71" i="67"/>
  <c r="C70" i="67"/>
  <c r="C69" i="67"/>
  <c r="C68" i="67"/>
  <c r="C67" i="67"/>
  <c r="C66" i="67"/>
  <c r="C65" i="67"/>
  <c r="C64" i="67"/>
  <c r="D63" i="67"/>
  <c r="D62" i="67"/>
  <c r="D61" i="67"/>
  <c r="D60" i="67"/>
  <c r="D59" i="67"/>
  <c r="D58" i="67"/>
  <c r="L51" i="67"/>
  <c r="K51" i="67"/>
  <c r="J51" i="67"/>
  <c r="I51" i="67"/>
  <c r="G51" i="67"/>
  <c r="F51" i="67"/>
  <c r="E51" i="67"/>
  <c r="D51" i="67"/>
  <c r="C51" i="67"/>
  <c r="L50" i="67"/>
  <c r="K50" i="67"/>
  <c r="J50" i="67"/>
  <c r="I50" i="67"/>
  <c r="G50" i="67"/>
  <c r="F50" i="67"/>
  <c r="E50" i="67"/>
  <c r="D50" i="67"/>
  <c r="C50" i="67"/>
  <c r="L49" i="67"/>
  <c r="K49" i="67"/>
  <c r="J49" i="67"/>
  <c r="I49" i="67"/>
  <c r="G49" i="67"/>
  <c r="F49" i="67"/>
  <c r="E49" i="67"/>
  <c r="D49" i="67"/>
  <c r="C49" i="67"/>
  <c r="L48" i="67"/>
  <c r="K48" i="67"/>
  <c r="J48" i="67"/>
  <c r="I48" i="67"/>
  <c r="G48" i="67"/>
  <c r="F48" i="67"/>
  <c r="E48" i="67"/>
  <c r="D48" i="67"/>
  <c r="C48" i="67"/>
  <c r="L17" i="67"/>
  <c r="K17" i="67"/>
  <c r="J17" i="67"/>
  <c r="I17" i="67"/>
  <c r="G17" i="67"/>
  <c r="L16" i="67"/>
  <c r="K16" i="67"/>
  <c r="J16" i="67"/>
  <c r="I16" i="67"/>
  <c r="G16" i="67"/>
  <c r="F16" i="67"/>
  <c r="E16" i="67"/>
  <c r="D16" i="67"/>
  <c r="C16" i="67"/>
  <c r="L15" i="67"/>
  <c r="K15" i="67"/>
  <c r="J15" i="67"/>
  <c r="I15" i="67"/>
  <c r="G15" i="67"/>
  <c r="F15" i="67"/>
  <c r="E15" i="67"/>
  <c r="D15" i="67"/>
  <c r="C15" i="67"/>
  <c r="L14" i="67"/>
  <c r="K14" i="67"/>
  <c r="J14" i="67"/>
  <c r="I14" i="67"/>
  <c r="G14" i="67"/>
  <c r="F14" i="67"/>
  <c r="E14" i="67"/>
  <c r="D14" i="67"/>
  <c r="C14" i="67"/>
  <c r="L13" i="67"/>
  <c r="K13" i="67"/>
  <c r="J13" i="67"/>
  <c r="I13" i="67"/>
  <c r="G13" i="67"/>
  <c r="F13" i="67"/>
  <c r="E13" i="67"/>
  <c r="D13" i="67"/>
  <c r="C13" i="67"/>
  <c r="L12" i="67"/>
  <c r="K12" i="67"/>
  <c r="J12" i="67"/>
  <c r="I12" i="67"/>
  <c r="G12" i="67"/>
  <c r="F12" i="67"/>
  <c r="E12" i="67"/>
  <c r="D12" i="67"/>
  <c r="C12" i="67"/>
  <c r="E97" i="67"/>
  <c r="E96" i="67"/>
  <c r="E95" i="67"/>
  <c r="E94" i="67"/>
  <c r="A59" i="67"/>
  <c r="A60" i="67" s="1"/>
  <c r="A61" i="67" s="1"/>
  <c r="A62" i="67" s="1"/>
  <c r="A63" i="67" s="1"/>
  <c r="A64" i="67" s="1"/>
  <c r="A65" i="67" s="1"/>
  <c r="A66" i="67" s="1"/>
  <c r="A67" i="67" s="1"/>
  <c r="A68" i="67" s="1"/>
  <c r="A69" i="67" s="1"/>
  <c r="A70" i="67" s="1"/>
  <c r="A71" i="67" s="1"/>
  <c r="A72" i="67" s="1"/>
  <c r="A73" i="67" s="1"/>
  <c r="A74" i="67" s="1"/>
  <c r="A75" i="67" s="1"/>
  <c r="A76" i="67" s="1"/>
  <c r="A77" i="67" s="1"/>
  <c r="A78" i="67" s="1"/>
  <c r="A79" i="67" s="1"/>
  <c r="A80" i="67" s="1"/>
  <c r="A81" i="67" s="1"/>
  <c r="A82" i="67" s="1"/>
  <c r="A83" i="67" s="1"/>
  <c r="A84" i="67" s="1"/>
  <c r="A85" i="67" s="1"/>
  <c r="A86" i="67" s="1"/>
  <c r="A87" i="67" s="1"/>
  <c r="A88" i="67" s="1"/>
  <c r="A89" i="67" s="1"/>
  <c r="A90" i="67" s="1"/>
  <c r="A91" i="67" s="1"/>
  <c r="A92" i="67" s="1"/>
  <c r="A93" i="67" s="1"/>
  <c r="A94" i="67" s="1"/>
  <c r="A95" i="67" s="1"/>
  <c r="A96" i="67" s="1"/>
  <c r="A97" i="67" s="1"/>
  <c r="B58" i="67"/>
  <c r="B59" i="67" s="1"/>
  <c r="B60" i="67" s="1"/>
  <c r="B61" i="67" s="1"/>
  <c r="B62" i="67" s="1"/>
  <c r="B63" i="67" s="1"/>
  <c r="B64" i="67" s="1"/>
  <c r="B65" i="67" s="1"/>
  <c r="B66" i="67" s="1"/>
  <c r="B67" i="67" s="1"/>
  <c r="B68" i="67" s="1"/>
  <c r="B69" i="67" s="1"/>
  <c r="B70" i="67" s="1"/>
  <c r="B71" i="67" s="1"/>
  <c r="B72" i="67" s="1"/>
  <c r="B73" i="67" s="1"/>
  <c r="B74" i="67" s="1"/>
  <c r="B75" i="67" s="1"/>
  <c r="B76" i="67" s="1"/>
  <c r="B77" i="67" s="1"/>
  <c r="B78" i="67" s="1"/>
  <c r="B79" i="67" s="1"/>
  <c r="B80" i="67" s="1"/>
  <c r="B81" i="67" s="1"/>
  <c r="B82" i="67" s="1"/>
  <c r="B83" i="67" s="1"/>
  <c r="B84" i="67" s="1"/>
  <c r="B85" i="67" s="1"/>
  <c r="B86" i="67" s="1"/>
  <c r="B87" i="67" s="1"/>
  <c r="B88" i="67" s="1"/>
  <c r="B89" i="67" s="1"/>
  <c r="B90" i="67" s="1"/>
  <c r="B91" i="67" s="1"/>
  <c r="B92" i="67" s="1"/>
  <c r="B93" i="67" s="1"/>
  <c r="B94" i="67" s="1"/>
  <c r="B95" i="67" s="1"/>
  <c r="B96" i="67" s="1"/>
  <c r="B97" i="67" s="1"/>
  <c r="A13" i="67"/>
  <c r="A14" i="67" s="1"/>
  <c r="A15" i="67" s="1"/>
  <c r="A16" i="67" s="1"/>
  <c r="A17" i="67" s="1"/>
  <c r="A18" i="67" s="1"/>
  <c r="A19" i="67" s="1"/>
  <c r="A20" i="67" s="1"/>
  <c r="A21" i="67" s="1"/>
  <c r="B12" i="67"/>
  <c r="B13" i="67" s="1"/>
  <c r="B14" i="67" s="1"/>
  <c r="B15" i="67" s="1"/>
  <c r="B16" i="67" s="1"/>
  <c r="B17" i="67" s="1"/>
  <c r="B18" i="67" s="1"/>
  <c r="B19" i="67" s="1"/>
  <c r="B20" i="67" s="1"/>
  <c r="B21" i="67" s="1"/>
  <c r="B22" i="67" s="1"/>
  <c r="B23" i="67" s="1"/>
  <c r="B24" i="67" s="1"/>
  <c r="B25" i="67" s="1"/>
  <c r="B26" i="67" s="1"/>
  <c r="B27" i="67" s="1"/>
  <c r="B28" i="67" s="1"/>
  <c r="B29" i="67" s="1"/>
  <c r="B30" i="67" s="1"/>
  <c r="B31" i="67" s="1"/>
  <c r="B32" i="67" s="1"/>
  <c r="B33" i="67" s="1"/>
  <c r="B34" i="67" s="1"/>
  <c r="B35" i="67" s="1"/>
  <c r="B36" i="67" s="1"/>
  <c r="B37" i="67" s="1"/>
  <c r="B38" i="67" s="1"/>
  <c r="B39" i="67" s="1"/>
  <c r="B40" i="67" s="1"/>
  <c r="B41" i="67" s="1"/>
  <c r="B42" i="67" s="1"/>
  <c r="B43" i="67" s="1"/>
  <c r="B44" i="67" s="1"/>
  <c r="B45" i="67" s="1"/>
  <c r="B46" i="67" s="1"/>
  <c r="B47" i="67" s="1"/>
  <c r="B48" i="67" s="1"/>
  <c r="B49" i="67" s="1"/>
  <c r="B50" i="67" s="1"/>
  <c r="B51" i="67" s="1"/>
  <c r="B4" i="67"/>
  <c r="B2" i="67"/>
  <c r="F15" i="61"/>
  <c r="F16" i="61"/>
  <c r="F17" i="61"/>
  <c r="F18" i="61"/>
  <c r="F19" i="61"/>
  <c r="F20" i="61"/>
  <c r="E15" i="61"/>
  <c r="E16" i="61"/>
  <c r="E17" i="61"/>
  <c r="E18" i="61"/>
  <c r="E19" i="61"/>
  <c r="E20" i="61"/>
  <c r="G16" i="14"/>
  <c r="G20" i="61"/>
  <c r="G16" i="61"/>
  <c r="M16" i="67" l="1"/>
  <c r="D28" i="68" s="1"/>
  <c r="F28" i="68" s="1"/>
  <c r="M50" i="67"/>
  <c r="M15" i="67"/>
  <c r="D27" i="68" s="1"/>
  <c r="F27" i="68" s="1"/>
  <c r="M51" i="67"/>
  <c r="M13" i="67"/>
  <c r="M49" i="67"/>
  <c r="M14" i="67"/>
  <c r="D26" i="68" s="1"/>
  <c r="F26" i="68" s="1"/>
  <c r="M48" i="67"/>
  <c r="M12" i="67"/>
  <c r="N13" i="67"/>
  <c r="E25" i="68" s="1"/>
  <c r="O12" i="67"/>
  <c r="A22" i="67"/>
  <c r="A23" i="67" s="1"/>
  <c r="A24" i="67" s="1"/>
  <c r="A25" i="67" s="1"/>
  <c r="A26" i="67" s="1"/>
  <c r="A27" i="67" s="1"/>
  <c r="A28" i="67" s="1"/>
  <c r="A29" i="67" s="1"/>
  <c r="A30" i="67" s="1"/>
  <c r="N15" i="67"/>
  <c r="E27" i="68" s="1"/>
  <c r="F21" i="61"/>
  <c r="F15" i="14"/>
  <c r="F16" i="14"/>
  <c r="F17" i="14"/>
  <c r="F18" i="14"/>
  <c r="F19" i="14"/>
  <c r="F20" i="14"/>
  <c r="B2" i="65"/>
  <c r="B4" i="65"/>
  <c r="C20" i="65"/>
  <c r="B21" i="65"/>
  <c r="B17" i="54" s="1"/>
  <c r="G17" i="54" s="1"/>
  <c r="C21" i="65"/>
  <c r="B2" i="64"/>
  <c r="B4" i="64"/>
  <c r="B2" i="63"/>
  <c r="B4" i="63"/>
  <c r="G34" i="63"/>
  <c r="G37" i="63" s="1"/>
  <c r="G35" i="63"/>
  <c r="G36" i="63"/>
  <c r="B2" i="62"/>
  <c r="B4" i="62"/>
  <c r="C18" i="62"/>
  <c r="C19" i="62"/>
  <c r="B2" i="61"/>
  <c r="B4" i="61"/>
  <c r="G21" i="61"/>
  <c r="C61" i="53"/>
  <c r="B2" i="60"/>
  <c r="B4" i="60"/>
  <c r="B10" i="60"/>
  <c r="B11" i="60"/>
  <c r="B51" i="60"/>
  <c r="B52" i="60"/>
  <c r="B92" i="60"/>
  <c r="D92" i="60" s="1"/>
  <c r="B96" i="60"/>
  <c r="C96" i="60" s="1"/>
  <c r="E96" i="60" s="1"/>
  <c r="B2" i="59"/>
  <c r="B4" i="59"/>
  <c r="C26" i="59"/>
  <c r="C21" i="57" s="1" a="1"/>
  <c r="C21" i="57" s="1"/>
  <c r="D26" i="59"/>
  <c r="D21" i="57" s="1" a="1"/>
  <c r="D21" i="57" s="1"/>
  <c r="E26" i="59"/>
  <c r="E21" i="57" s="1" a="1"/>
  <c r="E21" i="57" s="1"/>
  <c r="F26" i="59"/>
  <c r="F21" i="57" s="1" a="1"/>
  <c r="F21" i="57" s="1"/>
  <c r="G26" i="59"/>
  <c r="H26" i="59"/>
  <c r="E31" i="59"/>
  <c r="F31" i="59" s="1"/>
  <c r="G31" i="59"/>
  <c r="H31" i="59" s="1"/>
  <c r="E32" i="59"/>
  <c r="F32" i="59" s="1"/>
  <c r="G32" i="59"/>
  <c r="E33" i="59"/>
  <c r="F33" i="59" s="1"/>
  <c r="G33" i="59"/>
  <c r="H33" i="59" s="1"/>
  <c r="E34" i="59"/>
  <c r="F34" i="59" s="1"/>
  <c r="G34" i="59"/>
  <c r="H34" i="59" s="1"/>
  <c r="E35" i="59"/>
  <c r="F35" i="59" s="1"/>
  <c r="G35" i="59"/>
  <c r="H35" i="59" s="1"/>
  <c r="E36" i="59"/>
  <c r="F36" i="59" s="1"/>
  <c r="G36" i="59"/>
  <c r="H36" i="59" s="1"/>
  <c r="E37" i="59"/>
  <c r="F37" i="59" s="1"/>
  <c r="G37" i="59"/>
  <c r="H37" i="59" s="1"/>
  <c r="E38" i="59"/>
  <c r="F38" i="59" s="1"/>
  <c r="G38" i="59"/>
  <c r="H38" i="59" s="1"/>
  <c r="E39" i="59"/>
  <c r="F39" i="59" s="1"/>
  <c r="G39" i="59"/>
  <c r="H39" i="59" s="1"/>
  <c r="E40" i="59"/>
  <c r="F40" i="59" s="1"/>
  <c r="G40" i="59"/>
  <c r="H40" i="59" s="1"/>
  <c r="E41" i="59"/>
  <c r="F41" i="59" s="1"/>
  <c r="G41" i="59"/>
  <c r="H41" i="59" s="1"/>
  <c r="E42" i="59"/>
  <c r="F42" i="59" s="1"/>
  <c r="G42" i="59"/>
  <c r="H42" i="59" s="1"/>
  <c r="E43" i="59"/>
  <c r="F43" i="59" s="1"/>
  <c r="G43" i="59"/>
  <c r="H43" i="59" s="1"/>
  <c r="E44" i="59"/>
  <c r="F44" i="59" s="1"/>
  <c r="G44" i="59"/>
  <c r="H44" i="59" s="1"/>
  <c r="E45" i="59"/>
  <c r="F45" i="59" s="1"/>
  <c r="G45" i="59"/>
  <c r="H45" i="59" s="1"/>
  <c r="C66" i="59"/>
  <c r="C22" i="57" s="1" a="1"/>
  <c r="C22" i="57" s="1"/>
  <c r="D66" i="59"/>
  <c r="D22" i="57" s="1" a="1"/>
  <c r="D22" i="57" s="1"/>
  <c r="E66" i="59"/>
  <c r="E22" i="57" s="1" a="1"/>
  <c r="E22" i="57" s="1"/>
  <c r="F66" i="59"/>
  <c r="G66" i="59"/>
  <c r="H66" i="59"/>
  <c r="E71" i="59"/>
  <c r="F71" i="59" s="1"/>
  <c r="G71" i="59"/>
  <c r="H71" i="59" s="1"/>
  <c r="E72" i="59"/>
  <c r="F72" i="59" s="1"/>
  <c r="G72" i="59"/>
  <c r="H72" i="59" s="1"/>
  <c r="E73" i="59"/>
  <c r="F73" i="59" s="1"/>
  <c r="G73" i="59"/>
  <c r="H73" i="59" s="1"/>
  <c r="E74" i="59"/>
  <c r="F74" i="59" s="1"/>
  <c r="G74" i="59"/>
  <c r="H74" i="59" s="1"/>
  <c r="E75" i="59"/>
  <c r="F75" i="59" s="1"/>
  <c r="G75" i="59"/>
  <c r="H75" i="59" s="1"/>
  <c r="E76" i="59"/>
  <c r="G76" i="59"/>
  <c r="H76" i="59" s="1"/>
  <c r="E77" i="59"/>
  <c r="F77" i="59" s="1"/>
  <c r="G77" i="59"/>
  <c r="H77" i="59" s="1"/>
  <c r="E78" i="59"/>
  <c r="F78" i="59" s="1"/>
  <c r="G78" i="59"/>
  <c r="H78" i="59" s="1"/>
  <c r="E79" i="59"/>
  <c r="F79" i="59" s="1"/>
  <c r="G79" i="59"/>
  <c r="H79" i="59" s="1"/>
  <c r="E80" i="59"/>
  <c r="F80" i="59" s="1"/>
  <c r="G80" i="59"/>
  <c r="H80" i="59" s="1"/>
  <c r="E81" i="59"/>
  <c r="F81" i="59" s="1"/>
  <c r="G81" i="59"/>
  <c r="H81" i="59"/>
  <c r="E82" i="59"/>
  <c r="F82" i="59" s="1"/>
  <c r="G82" i="59"/>
  <c r="H82" i="59" s="1"/>
  <c r="E83" i="59"/>
  <c r="F83" i="59" s="1"/>
  <c r="G83" i="59"/>
  <c r="H83" i="59" s="1"/>
  <c r="E84" i="59"/>
  <c r="F84" i="59" s="1"/>
  <c r="G84" i="59"/>
  <c r="H84" i="59" s="1"/>
  <c r="E85" i="59"/>
  <c r="F85" i="59" s="1"/>
  <c r="G85" i="59"/>
  <c r="H85" i="59" s="1"/>
  <c r="B2" i="58"/>
  <c r="B4" i="58"/>
  <c r="C32" i="58"/>
  <c r="D32" i="58"/>
  <c r="E32" i="58"/>
  <c r="F32" i="58"/>
  <c r="G32" i="58"/>
  <c r="H32" i="58"/>
  <c r="E37" i="58"/>
  <c r="F37" i="58" s="1"/>
  <c r="G37" i="58"/>
  <c r="H37" i="58" s="1"/>
  <c r="E38" i="58"/>
  <c r="F38" i="58" s="1"/>
  <c r="G38" i="58"/>
  <c r="H38" i="58" s="1"/>
  <c r="E39" i="58"/>
  <c r="F39" i="58" s="1"/>
  <c r="G39" i="58"/>
  <c r="H39" i="58"/>
  <c r="E40" i="58"/>
  <c r="F40" i="58" s="1"/>
  <c r="G40" i="58"/>
  <c r="H40" i="58" s="1"/>
  <c r="E41" i="58"/>
  <c r="F41" i="58" s="1"/>
  <c r="G41" i="58"/>
  <c r="H41" i="58" s="1"/>
  <c r="E42" i="58"/>
  <c r="F42" i="58" s="1"/>
  <c r="G42" i="58"/>
  <c r="H42" i="58"/>
  <c r="E43" i="58"/>
  <c r="G43" i="58"/>
  <c r="H43" i="58" s="1"/>
  <c r="E44" i="58"/>
  <c r="F44" i="58" s="1"/>
  <c r="G44" i="58"/>
  <c r="H44" i="58" s="1"/>
  <c r="E45" i="58"/>
  <c r="F45" i="58" s="1"/>
  <c r="G45" i="58"/>
  <c r="H45" i="58" s="1"/>
  <c r="E46" i="58"/>
  <c r="F46" i="58" s="1"/>
  <c r="G46" i="58"/>
  <c r="H46" i="58" s="1"/>
  <c r="E47" i="58"/>
  <c r="F47" i="58" s="1"/>
  <c r="G47" i="58"/>
  <c r="H47" i="58"/>
  <c r="E48" i="58"/>
  <c r="F48" i="58" s="1"/>
  <c r="G48" i="58"/>
  <c r="H48" i="58" s="1"/>
  <c r="E49" i="58"/>
  <c r="F49" i="58" s="1"/>
  <c r="G49" i="58"/>
  <c r="H49" i="58" s="1"/>
  <c r="E50" i="58"/>
  <c r="F50" i="58" s="1"/>
  <c r="G50" i="58"/>
  <c r="H50" i="58" s="1"/>
  <c r="E51" i="58"/>
  <c r="F51" i="58" s="1"/>
  <c r="G51" i="58"/>
  <c r="H51" i="58" s="1"/>
  <c r="C72" i="58"/>
  <c r="D72" i="58"/>
  <c r="E72" i="58"/>
  <c r="E15" i="57" s="1" a="1"/>
  <c r="E15" i="57" s="1"/>
  <c r="F72" i="58"/>
  <c r="F15" i="57" s="1" a="1"/>
  <c r="F15" i="57" s="1"/>
  <c r="G72" i="58"/>
  <c r="H72" i="58"/>
  <c r="E77" i="58"/>
  <c r="F77" i="58" s="1"/>
  <c r="G77" i="58"/>
  <c r="H77" i="58" s="1"/>
  <c r="E78" i="58"/>
  <c r="G78" i="58"/>
  <c r="H78" i="58" s="1"/>
  <c r="E79" i="58"/>
  <c r="F79" i="58"/>
  <c r="G79" i="58"/>
  <c r="H79" i="58" s="1"/>
  <c r="E80" i="58"/>
  <c r="F80" i="58" s="1"/>
  <c r="G80" i="58"/>
  <c r="H80" i="58" s="1"/>
  <c r="E81" i="58"/>
  <c r="F81" i="58" s="1"/>
  <c r="G81" i="58"/>
  <c r="H81" i="58" s="1"/>
  <c r="E82" i="58"/>
  <c r="F82" i="58" s="1"/>
  <c r="G82" i="58"/>
  <c r="H82" i="58" s="1"/>
  <c r="E83" i="58"/>
  <c r="F83" i="58" s="1"/>
  <c r="G83" i="58"/>
  <c r="H83" i="58" s="1"/>
  <c r="E84" i="58"/>
  <c r="F84" i="58" s="1"/>
  <c r="G84" i="58"/>
  <c r="H84" i="58"/>
  <c r="E85" i="58"/>
  <c r="F85" i="58" s="1"/>
  <c r="G85" i="58"/>
  <c r="H85" i="58" s="1"/>
  <c r="E86" i="58"/>
  <c r="F86" i="58" s="1"/>
  <c r="G86" i="58"/>
  <c r="H86" i="58" s="1"/>
  <c r="E87" i="58"/>
  <c r="F87" i="58" s="1"/>
  <c r="G87" i="58"/>
  <c r="H87" i="58" s="1"/>
  <c r="E88" i="58"/>
  <c r="F88" i="58" s="1"/>
  <c r="G88" i="58"/>
  <c r="H88" i="58" s="1"/>
  <c r="E89" i="58"/>
  <c r="F89" i="58" s="1"/>
  <c r="G89" i="58"/>
  <c r="H89" i="58" s="1"/>
  <c r="E90" i="58"/>
  <c r="F90" i="58" s="1"/>
  <c r="G90" i="58"/>
  <c r="H90" i="58" s="1"/>
  <c r="E91" i="58"/>
  <c r="F91" i="58" s="1"/>
  <c r="G91" i="58"/>
  <c r="H91" i="58" s="1"/>
  <c r="C112" i="58"/>
  <c r="C16" i="57" s="1" a="1"/>
  <c r="C16" i="57" s="1"/>
  <c r="D112" i="58"/>
  <c r="D16" i="57" s="1" a="1"/>
  <c r="D16" i="57" s="1"/>
  <c r="E112" i="58"/>
  <c r="E16" i="57" s="1" a="1"/>
  <c r="E16" i="57" s="1"/>
  <c r="F112" i="58"/>
  <c r="F16" i="57" s="1" a="1"/>
  <c r="F16" i="57" s="1"/>
  <c r="G112" i="58"/>
  <c r="H112" i="58"/>
  <c r="G16" i="57" s="1" a="1"/>
  <c r="G16" i="57" s="1"/>
  <c r="E117" i="58"/>
  <c r="F117" i="58" s="1"/>
  <c r="G117" i="58"/>
  <c r="H117" i="58" s="1"/>
  <c r="E118" i="58"/>
  <c r="F118" i="58" s="1"/>
  <c r="G118" i="58"/>
  <c r="E119" i="58"/>
  <c r="F119" i="58" s="1"/>
  <c r="G119" i="58"/>
  <c r="H119" i="58" s="1"/>
  <c r="E120" i="58"/>
  <c r="F120" i="58" s="1"/>
  <c r="G120" i="58"/>
  <c r="H120" i="58" s="1"/>
  <c r="E121" i="58"/>
  <c r="F121" i="58"/>
  <c r="G121" i="58"/>
  <c r="H121" i="58" s="1"/>
  <c r="E122" i="58"/>
  <c r="F122" i="58" s="1"/>
  <c r="G122" i="58"/>
  <c r="H122" i="58" s="1"/>
  <c r="E123" i="58"/>
  <c r="F123" i="58" s="1"/>
  <c r="G123" i="58"/>
  <c r="H123" i="58"/>
  <c r="E124" i="58"/>
  <c r="F124" i="58" s="1"/>
  <c r="G124" i="58"/>
  <c r="H124" i="58" s="1"/>
  <c r="E125" i="58"/>
  <c r="F125" i="58" s="1"/>
  <c r="G125" i="58"/>
  <c r="H125" i="58"/>
  <c r="E126" i="58"/>
  <c r="F126" i="58" s="1"/>
  <c r="G126" i="58"/>
  <c r="H126" i="58" s="1"/>
  <c r="E127" i="58"/>
  <c r="F127" i="58" s="1"/>
  <c r="G127" i="58"/>
  <c r="H127" i="58" s="1"/>
  <c r="E128" i="58"/>
  <c r="F128" i="58" s="1"/>
  <c r="G128" i="58"/>
  <c r="H128" i="58" s="1"/>
  <c r="E129" i="58"/>
  <c r="F129" i="58" s="1"/>
  <c r="G129" i="58"/>
  <c r="H129" i="58" s="1"/>
  <c r="E130" i="58"/>
  <c r="F130" i="58" s="1"/>
  <c r="G130" i="58"/>
  <c r="H130" i="58" s="1"/>
  <c r="E131" i="58"/>
  <c r="F131" i="58" s="1"/>
  <c r="G131" i="58"/>
  <c r="H131" i="58" s="1"/>
  <c r="B2" i="57"/>
  <c r="B4" i="57"/>
  <c r="C15" i="57" a="1"/>
  <c r="C15" i="57" s="1"/>
  <c r="D15" i="57" a="1"/>
  <c r="D15" i="57" s="1"/>
  <c r="G15" i="57" a="1"/>
  <c r="G15" i="57" s="1"/>
  <c r="I15" i="57"/>
  <c r="G21" i="57" a="1"/>
  <c r="G21" i="57" s="1"/>
  <c r="I21" i="57"/>
  <c r="F22" i="57" a="1"/>
  <c r="F22" i="57" s="1"/>
  <c r="G22" i="57" a="1"/>
  <c r="G22" i="57" s="1"/>
  <c r="H27" i="57"/>
  <c r="I27" i="57"/>
  <c r="I33" i="57"/>
  <c r="B2" i="56"/>
  <c r="B4" i="56"/>
  <c r="B17" i="56"/>
  <c r="I17" i="56"/>
  <c r="B18" i="56"/>
  <c r="I18" i="56"/>
  <c r="I19" i="56"/>
  <c r="I20" i="56"/>
  <c r="I21" i="56"/>
  <c r="I22" i="56"/>
  <c r="C23" i="56"/>
  <c r="D23" i="56"/>
  <c r="D24" i="56" s="1"/>
  <c r="D25" i="56" s="1"/>
  <c r="E23" i="56"/>
  <c r="E24" i="56" s="1"/>
  <c r="F23" i="56"/>
  <c r="F24" i="56" s="1"/>
  <c r="G23" i="56"/>
  <c r="H23" i="56"/>
  <c r="H24" i="56" s="1"/>
  <c r="H25" i="56" s="1"/>
  <c r="H26" i="56" s="1"/>
  <c r="H27" i="56" s="1"/>
  <c r="H28" i="56" s="1"/>
  <c r="I52" i="56"/>
  <c r="B58" i="56"/>
  <c r="I58" i="56"/>
  <c r="B59" i="56"/>
  <c r="I59" i="56"/>
  <c r="I60" i="56"/>
  <c r="I61" i="56"/>
  <c r="I62" i="56"/>
  <c r="I63" i="56"/>
  <c r="C64" i="56"/>
  <c r="C65" i="56" s="1"/>
  <c r="C66" i="56" s="1"/>
  <c r="C67" i="56" s="1"/>
  <c r="D64" i="56"/>
  <c r="D65" i="56" s="1"/>
  <c r="E64" i="56"/>
  <c r="E65" i="56" s="1"/>
  <c r="E66" i="56" s="1"/>
  <c r="F64" i="56"/>
  <c r="F65" i="56" s="1"/>
  <c r="G64" i="56"/>
  <c r="H64" i="56"/>
  <c r="H65" i="56" s="1"/>
  <c r="H66" i="56" s="1"/>
  <c r="H67" i="56" s="1"/>
  <c r="I93" i="56"/>
  <c r="B99" i="56"/>
  <c r="C99" i="56"/>
  <c r="D99" i="56"/>
  <c r="E99" i="56"/>
  <c r="F99" i="56"/>
  <c r="G99" i="56"/>
  <c r="H99" i="56"/>
  <c r="C100" i="56"/>
  <c r="D100" i="56"/>
  <c r="E100" i="56"/>
  <c r="F100" i="56"/>
  <c r="G100" i="56"/>
  <c r="H100" i="56"/>
  <c r="C101" i="56"/>
  <c r="D101" i="56"/>
  <c r="E101" i="56"/>
  <c r="F101" i="56"/>
  <c r="G101" i="56"/>
  <c r="H101" i="56"/>
  <c r="C102" i="56"/>
  <c r="D102" i="56"/>
  <c r="E102" i="56"/>
  <c r="F102" i="56"/>
  <c r="G102" i="56"/>
  <c r="H102" i="56"/>
  <c r="C103" i="56"/>
  <c r="D103" i="56"/>
  <c r="E103" i="56"/>
  <c r="I103" i="56" s="1"/>
  <c r="F103" i="56"/>
  <c r="G103" i="56"/>
  <c r="H103" i="56"/>
  <c r="C104" i="56"/>
  <c r="D104" i="56"/>
  <c r="E104" i="56"/>
  <c r="F104" i="56"/>
  <c r="G104" i="56"/>
  <c r="H104" i="56"/>
  <c r="C134" i="56"/>
  <c r="D134" i="56"/>
  <c r="E134" i="56"/>
  <c r="F134" i="56"/>
  <c r="G134" i="56"/>
  <c r="H134" i="56"/>
  <c r="B140" i="56"/>
  <c r="C140" i="56" s="1"/>
  <c r="B182" i="56"/>
  <c r="I182" i="56" s="1"/>
  <c r="C218" i="56"/>
  <c r="D218" i="56"/>
  <c r="E218" i="56"/>
  <c r="F218" i="56"/>
  <c r="G218" i="56"/>
  <c r="H218" i="56"/>
  <c r="I218" i="56"/>
  <c r="B2" i="55"/>
  <c r="B4" i="55"/>
  <c r="B2" i="54"/>
  <c r="B4" i="54"/>
  <c r="B16" i="54"/>
  <c r="G16" i="54" s="1" a="1"/>
  <c r="G16" i="54" s="1"/>
  <c r="B2" i="53"/>
  <c r="B4" i="53"/>
  <c r="B12" i="53"/>
  <c r="B13" i="53" s="1"/>
  <c r="B14" i="53" s="1"/>
  <c r="B15" i="53" s="1"/>
  <c r="B16" i="53" s="1"/>
  <c r="B17" i="53" s="1"/>
  <c r="B18" i="53" s="1"/>
  <c r="B19" i="53" s="1"/>
  <c r="B20" i="53" s="1"/>
  <c r="B21" i="53" s="1"/>
  <c r="B22" i="53" s="1"/>
  <c r="B23" i="53" s="1"/>
  <c r="B24" i="53" s="1"/>
  <c r="B25" i="53" s="1"/>
  <c r="B26" i="53" s="1"/>
  <c r="B27" i="53" s="1"/>
  <c r="B28" i="53" s="1"/>
  <c r="B29" i="53" s="1"/>
  <c r="B30" i="53" s="1"/>
  <c r="B31" i="53" s="1"/>
  <c r="B32" i="53" s="1"/>
  <c r="B33" i="53" s="1"/>
  <c r="B34" i="53" s="1"/>
  <c r="B35" i="53" s="1"/>
  <c r="B36" i="53" s="1"/>
  <c r="B37" i="53" s="1"/>
  <c r="B38" i="53" s="1"/>
  <c r="B39" i="53" s="1"/>
  <c r="B40" i="53" s="1"/>
  <c r="B41" i="53" s="1"/>
  <c r="B42" i="53" s="1"/>
  <c r="B43" i="53" s="1"/>
  <c r="B44" i="53" s="1"/>
  <c r="B45" i="53" s="1"/>
  <c r="B46" i="53" s="1"/>
  <c r="B47" i="53" s="1"/>
  <c r="B48" i="53" s="1"/>
  <c r="B49" i="53" s="1"/>
  <c r="B50" i="53" s="1"/>
  <c r="B51" i="53" s="1"/>
  <c r="M12" i="53"/>
  <c r="N12" i="53"/>
  <c r="A13" i="53"/>
  <c r="M13" i="53"/>
  <c r="D25" i="51" s="1"/>
  <c r="F25" i="51" s="1"/>
  <c r="A14" i="53"/>
  <c r="M14" i="53"/>
  <c r="N14" i="53" s="1"/>
  <c r="A15" i="53"/>
  <c r="M15" i="53"/>
  <c r="D27" i="51" s="1"/>
  <c r="F27" i="51" s="1"/>
  <c r="M16" i="53"/>
  <c r="D28" i="51" s="1"/>
  <c r="F28" i="51" s="1"/>
  <c r="M48" i="53"/>
  <c r="M49" i="53"/>
  <c r="M50" i="53"/>
  <c r="M51" i="53"/>
  <c r="I52" i="53"/>
  <c r="B58" i="53"/>
  <c r="B59" i="53" s="1"/>
  <c r="B60" i="53" s="1"/>
  <c r="B61" i="53" s="1"/>
  <c r="B62" i="53" s="1"/>
  <c r="B63" i="53" s="1"/>
  <c r="B64" i="53" s="1"/>
  <c r="B65" i="53" s="1"/>
  <c r="B66" i="53" s="1"/>
  <c r="B67" i="53" s="1"/>
  <c r="B68" i="53" s="1"/>
  <c r="B69" i="53" s="1"/>
  <c r="B70" i="53" s="1"/>
  <c r="B71" i="53" s="1"/>
  <c r="B72" i="53" s="1"/>
  <c r="B73" i="53" s="1"/>
  <c r="B74" i="53" s="1"/>
  <c r="B75" i="53" s="1"/>
  <c r="B76" i="53" s="1"/>
  <c r="B77" i="53" s="1"/>
  <c r="B78" i="53" s="1"/>
  <c r="B79" i="53" s="1"/>
  <c r="B80" i="53" s="1"/>
  <c r="B81" i="53" s="1"/>
  <c r="B82" i="53" s="1"/>
  <c r="B83" i="53" s="1"/>
  <c r="B84" i="53" s="1"/>
  <c r="B85" i="53" s="1"/>
  <c r="B86" i="53" s="1"/>
  <c r="B87" i="53" s="1"/>
  <c r="B88" i="53" s="1"/>
  <c r="B89" i="53" s="1"/>
  <c r="B90" i="53" s="1"/>
  <c r="B91" i="53" s="1"/>
  <c r="B92" i="53" s="1"/>
  <c r="B93" i="53" s="1"/>
  <c r="B94" i="53" s="1"/>
  <c r="B95" i="53" s="1"/>
  <c r="B96" i="53" s="1"/>
  <c r="B97" i="53" s="1"/>
  <c r="C58" i="53"/>
  <c r="A59" i="53"/>
  <c r="A60" i="53" s="1"/>
  <c r="A61" i="53" s="1"/>
  <c r="A62" i="53" s="1"/>
  <c r="A63" i="53" s="1"/>
  <c r="A64" i="53" s="1"/>
  <c r="A65" i="53" s="1"/>
  <c r="A66" i="53" s="1"/>
  <c r="A67" i="53" s="1"/>
  <c r="A68" i="53" s="1"/>
  <c r="A69" i="53" s="1"/>
  <c r="A70" i="53" s="1"/>
  <c r="A71" i="53" s="1"/>
  <c r="A72" i="53" s="1"/>
  <c r="A73" i="53" s="1"/>
  <c r="A74" i="53" s="1"/>
  <c r="A75" i="53" s="1"/>
  <c r="A76" i="53" s="1"/>
  <c r="A77" i="53" s="1"/>
  <c r="A78" i="53" s="1"/>
  <c r="A79" i="53" s="1"/>
  <c r="A80" i="53" s="1"/>
  <c r="A81" i="53" s="1"/>
  <c r="A82" i="53" s="1"/>
  <c r="A83" i="53" s="1"/>
  <c r="A84" i="53" s="1"/>
  <c r="A85" i="53" s="1"/>
  <c r="A86" i="53" s="1"/>
  <c r="A87" i="53" s="1"/>
  <c r="A88" i="53" s="1"/>
  <c r="A89" i="53" s="1"/>
  <c r="A90" i="53" s="1"/>
  <c r="A91" i="53" s="1"/>
  <c r="A92" i="53" s="1"/>
  <c r="A93" i="53" s="1"/>
  <c r="A94" i="53" s="1"/>
  <c r="A95" i="53" s="1"/>
  <c r="A96" i="53" s="1"/>
  <c r="A97" i="53" s="1"/>
  <c r="C59" i="53"/>
  <c r="C60" i="53"/>
  <c r="C62" i="53"/>
  <c r="C63" i="53"/>
  <c r="E94" i="53"/>
  <c r="E95" i="53"/>
  <c r="E96" i="53"/>
  <c r="E97" i="53"/>
  <c r="B2" i="52"/>
  <c r="B4" i="52"/>
  <c r="D18" i="52"/>
  <c r="F18" i="52" s="1"/>
  <c r="G18" i="52"/>
  <c r="D19" i="52"/>
  <c r="F19" i="52" s="1"/>
  <c r="G19" i="52"/>
  <c r="D20" i="52"/>
  <c r="F20" i="52" s="1"/>
  <c r="G20" i="52"/>
  <c r="D21" i="52"/>
  <c r="F21" i="52" s="1"/>
  <c r="G21" i="52"/>
  <c r="D22" i="52"/>
  <c r="F22" i="52" s="1"/>
  <c r="G22" i="52"/>
  <c r="D23" i="52"/>
  <c r="F23" i="52" s="1"/>
  <c r="G23" i="52"/>
  <c r="D24" i="52"/>
  <c r="F24" i="52" s="1"/>
  <c r="G24" i="52"/>
  <c r="D25" i="52"/>
  <c r="F25" i="52" s="1"/>
  <c r="G25" i="52"/>
  <c r="D26" i="52"/>
  <c r="F26" i="52" s="1"/>
  <c r="G26" i="52"/>
  <c r="C27" i="52"/>
  <c r="E27" i="52"/>
  <c r="D34" i="52"/>
  <c r="D43" i="52" s="1"/>
  <c r="F34" i="52"/>
  <c r="G34" i="52"/>
  <c r="D35" i="52"/>
  <c r="F35" i="52"/>
  <c r="G35" i="52"/>
  <c r="H35" i="52" s="1"/>
  <c r="D36" i="52"/>
  <c r="F36" i="52" s="1"/>
  <c r="G36" i="52"/>
  <c r="D37" i="52"/>
  <c r="F37" i="52"/>
  <c r="G37" i="52"/>
  <c r="D38" i="52"/>
  <c r="F38" i="52" s="1"/>
  <c r="G38" i="52"/>
  <c r="D39" i="52"/>
  <c r="F39" i="52"/>
  <c r="G39" i="52"/>
  <c r="D40" i="52"/>
  <c r="F40" i="52"/>
  <c r="G40" i="52"/>
  <c r="D41" i="52"/>
  <c r="F41" i="52"/>
  <c r="G41" i="52"/>
  <c r="H41" i="52" s="1"/>
  <c r="D42" i="52"/>
  <c r="F42" i="52"/>
  <c r="G42" i="52"/>
  <c r="C43" i="52"/>
  <c r="E43" i="52"/>
  <c r="D50" i="52"/>
  <c r="F50" i="52"/>
  <c r="G50" i="52"/>
  <c r="H50" i="52" s="1"/>
  <c r="D51" i="52"/>
  <c r="F51" i="52" s="1"/>
  <c r="G51" i="52"/>
  <c r="D52" i="52"/>
  <c r="F52" i="52" s="1"/>
  <c r="G52" i="52"/>
  <c r="H52" i="52" s="1"/>
  <c r="D53" i="52"/>
  <c r="F53" i="52"/>
  <c r="G53" i="52"/>
  <c r="H53" i="52" s="1"/>
  <c r="D54" i="52"/>
  <c r="F54" i="52" s="1"/>
  <c r="G54" i="52"/>
  <c r="D55" i="52"/>
  <c r="F55" i="52" s="1"/>
  <c r="G55" i="52"/>
  <c r="H55" i="52" s="1"/>
  <c r="D56" i="52"/>
  <c r="F56" i="52"/>
  <c r="G56" i="52"/>
  <c r="D57" i="52"/>
  <c r="F57" i="52" s="1"/>
  <c r="G57" i="52"/>
  <c r="D58" i="52"/>
  <c r="F58" i="52" s="1"/>
  <c r="G58" i="52"/>
  <c r="H58" i="52" s="1"/>
  <c r="C59" i="52"/>
  <c r="E59" i="52"/>
  <c r="F66" i="52"/>
  <c r="B2" i="51"/>
  <c r="B4" i="51"/>
  <c r="D24" i="51"/>
  <c r="F24" i="51" s="1"/>
  <c r="C25" i="51"/>
  <c r="C26" i="51"/>
  <c r="C27" i="51"/>
  <c r="C28" i="51" s="1"/>
  <c r="C29" i="51" s="1"/>
  <c r="C30" i="51" s="1"/>
  <c r="C31" i="51" s="1"/>
  <c r="C32" i="51" s="1"/>
  <c r="C33" i="51" s="1"/>
  <c r="C34" i="51" s="1"/>
  <c r="C35" i="51" s="1"/>
  <c r="C36" i="51" s="1"/>
  <c r="C37" i="51" s="1"/>
  <c r="C38" i="51" s="1"/>
  <c r="C39" i="51" s="1"/>
  <c r="C40" i="51" s="1"/>
  <c r="C41" i="51" s="1"/>
  <c r="C42" i="51" s="1"/>
  <c r="C43" i="51" s="1"/>
  <c r="C44" i="51" s="1"/>
  <c r="C45" i="51" s="1"/>
  <c r="C46" i="51" s="1"/>
  <c r="C47" i="51" s="1"/>
  <c r="C48" i="51" s="1"/>
  <c r="C49" i="51" s="1"/>
  <c r="C50" i="51" s="1"/>
  <c r="C51" i="51" s="1"/>
  <c r="C52" i="51" s="1"/>
  <c r="C53" i="51" s="1"/>
  <c r="C54" i="51" s="1"/>
  <c r="C55" i="51" s="1"/>
  <c r="C56" i="51" s="1"/>
  <c r="C57" i="51" s="1"/>
  <c r="C58" i="51" s="1"/>
  <c r="C59" i="51" s="1"/>
  <c r="H25" i="52" l="1"/>
  <c r="H38" i="52"/>
  <c r="H56" i="52"/>
  <c r="O15" i="67"/>
  <c r="N14" i="67"/>
  <c r="E26" i="68" s="1"/>
  <c r="O14" i="67"/>
  <c r="N16" i="67"/>
  <c r="E28" i="68" s="1"/>
  <c r="O16" i="67"/>
  <c r="O13" i="53"/>
  <c r="O14" i="53"/>
  <c r="N13" i="53"/>
  <c r="N12" i="67"/>
  <c r="E24" i="68" s="1"/>
  <c r="D24" i="68"/>
  <c r="F24" i="68" s="1"/>
  <c r="D26" i="51"/>
  <c r="F26" i="51" s="1"/>
  <c r="O13" i="67"/>
  <c r="D25" i="68"/>
  <c r="F25" i="68" s="1"/>
  <c r="D137" i="58"/>
  <c r="F137" i="58" s="1"/>
  <c r="C137" i="58"/>
  <c r="E137" i="58" s="1"/>
  <c r="D141" i="58"/>
  <c r="F141" i="58" s="1"/>
  <c r="C146" i="58"/>
  <c r="E146" i="58" s="1"/>
  <c r="C143" i="58"/>
  <c r="E143" i="58" s="1"/>
  <c r="C151" i="58"/>
  <c r="E151" i="58" s="1"/>
  <c r="D144" i="58"/>
  <c r="F144" i="58" s="1"/>
  <c r="C142" i="58"/>
  <c r="E142" i="58" s="1"/>
  <c r="C147" i="58"/>
  <c r="E147" i="58" s="1"/>
  <c r="E27" i="57"/>
  <c r="D145" i="58"/>
  <c r="F145" i="58" s="1"/>
  <c r="C97" i="59"/>
  <c r="E97" i="59" s="1"/>
  <c r="D101" i="59"/>
  <c r="F101" i="59" s="1"/>
  <c r="H22" i="52"/>
  <c r="H21" i="52"/>
  <c r="H19" i="52"/>
  <c r="C66" i="52"/>
  <c r="D106" i="56"/>
  <c r="I104" i="56"/>
  <c r="D105" i="56"/>
  <c r="E105" i="56"/>
  <c r="C94" i="59"/>
  <c r="E94" i="59" s="1"/>
  <c r="D98" i="59"/>
  <c r="F98" i="59" s="1"/>
  <c r="C103" i="59"/>
  <c r="E103" i="59" s="1"/>
  <c r="G86" i="59"/>
  <c r="C100" i="59"/>
  <c r="E100" i="59" s="1"/>
  <c r="D95" i="59"/>
  <c r="F95" i="59" s="1"/>
  <c r="E86" i="59"/>
  <c r="D104" i="59"/>
  <c r="F104" i="59" s="1"/>
  <c r="G46" i="59"/>
  <c r="C101" i="59"/>
  <c r="E101" i="59" s="1"/>
  <c r="H101" i="59" s="1"/>
  <c r="C105" i="59"/>
  <c r="E105" i="59" s="1"/>
  <c r="C99" i="59"/>
  <c r="E99" i="59" s="1"/>
  <c r="E46" i="59"/>
  <c r="D100" i="59"/>
  <c r="F100" i="59" s="1"/>
  <c r="C104" i="59"/>
  <c r="E104" i="59" s="1"/>
  <c r="D99" i="59"/>
  <c r="F99" i="59" s="1"/>
  <c r="C95" i="59"/>
  <c r="E95" i="59" s="1"/>
  <c r="H32" i="59"/>
  <c r="D92" i="59" s="1"/>
  <c r="F92" i="59" s="1"/>
  <c r="D102" i="59"/>
  <c r="F102" i="59" s="1"/>
  <c r="C98" i="59"/>
  <c r="E98" i="59" s="1"/>
  <c r="D93" i="59"/>
  <c r="F93" i="59" s="1"/>
  <c r="D103" i="59"/>
  <c r="F103" i="59" s="1"/>
  <c r="D94" i="59"/>
  <c r="F94" i="59" s="1"/>
  <c r="C102" i="59"/>
  <c r="E102" i="59" s="1"/>
  <c r="D97" i="59"/>
  <c r="F97" i="59" s="1"/>
  <c r="C93" i="59"/>
  <c r="E93" i="59" s="1"/>
  <c r="D96" i="59"/>
  <c r="F96" i="59" s="1"/>
  <c r="D105" i="59"/>
  <c r="F105" i="59" s="1"/>
  <c r="C145" i="58"/>
  <c r="E145" i="58" s="1"/>
  <c r="D146" i="58"/>
  <c r="F146" i="58" s="1"/>
  <c r="C141" i="58"/>
  <c r="E141" i="58" s="1"/>
  <c r="C150" i="58"/>
  <c r="E150" i="58" s="1"/>
  <c r="D149" i="58"/>
  <c r="F149" i="58" s="1"/>
  <c r="D139" i="58"/>
  <c r="F139" i="58" s="1"/>
  <c r="D140" i="58"/>
  <c r="F140" i="58" s="1"/>
  <c r="D148" i="58"/>
  <c r="F148" i="58" s="1"/>
  <c r="C139" i="58"/>
  <c r="E139" i="58" s="1"/>
  <c r="C148" i="58"/>
  <c r="E148" i="58" s="1"/>
  <c r="D142" i="58"/>
  <c r="F142" i="58" s="1"/>
  <c r="D150" i="58"/>
  <c r="F150" i="58" s="1"/>
  <c r="C149" i="58"/>
  <c r="E149" i="58" s="1"/>
  <c r="D151" i="58"/>
  <c r="F151" i="58" s="1"/>
  <c r="C144" i="58"/>
  <c r="E144" i="58" s="1"/>
  <c r="C140" i="58"/>
  <c r="E140" i="58" s="1"/>
  <c r="D147" i="58"/>
  <c r="F147" i="58" s="1"/>
  <c r="E52" i="58"/>
  <c r="H37" i="52"/>
  <c r="H40" i="52"/>
  <c r="F92" i="60"/>
  <c r="I134" i="56"/>
  <c r="D66" i="56"/>
  <c r="D67" i="56" s="1"/>
  <c r="D68" i="56" s="1"/>
  <c r="D69" i="56" s="1"/>
  <c r="D70" i="56" s="1"/>
  <c r="D71" i="56" s="1"/>
  <c r="D72" i="56" s="1"/>
  <c r="D73" i="56" s="1"/>
  <c r="D74" i="56" s="1"/>
  <c r="D75" i="56" s="1"/>
  <c r="D76" i="56" s="1"/>
  <c r="D77" i="56" s="1"/>
  <c r="D78" i="56" s="1"/>
  <c r="D79" i="56" s="1"/>
  <c r="D80" i="56" s="1"/>
  <c r="D81" i="56" s="1"/>
  <c r="D82" i="56" s="1"/>
  <c r="D83" i="56" s="1"/>
  <c r="D84" i="56" s="1"/>
  <c r="D85" i="56" s="1"/>
  <c r="D86" i="56" s="1"/>
  <c r="D87" i="56" s="1"/>
  <c r="D88" i="56" s="1"/>
  <c r="D89" i="56" s="1"/>
  <c r="D90" i="56" s="1"/>
  <c r="D91" i="56" s="1"/>
  <c r="D92" i="56" s="1"/>
  <c r="H105" i="56"/>
  <c r="D26" i="56"/>
  <c r="H107" i="56"/>
  <c r="H106" i="56"/>
  <c r="G29" i="63"/>
  <c r="E44" i="63" s="1"/>
  <c r="E46" i="63" s="1"/>
  <c r="A31" i="67"/>
  <c r="E21" i="61"/>
  <c r="B183" i="56"/>
  <c r="I183" i="56" s="1"/>
  <c r="B141" i="56"/>
  <c r="C141" i="56" s="1"/>
  <c r="B100" i="56"/>
  <c r="B22" i="65"/>
  <c r="H34" i="52"/>
  <c r="H23" i="52"/>
  <c r="H54" i="52"/>
  <c r="H51" i="52"/>
  <c r="H39" i="52"/>
  <c r="H20" i="52"/>
  <c r="H42" i="52"/>
  <c r="H57" i="52"/>
  <c r="H36" i="52"/>
  <c r="H26" i="52"/>
  <c r="G38" i="63"/>
  <c r="G39" i="63"/>
  <c r="E45" i="63" s="1"/>
  <c r="C92" i="60"/>
  <c r="B93" i="60"/>
  <c r="B97" i="60"/>
  <c r="B98" i="60" s="1"/>
  <c r="D96" i="60"/>
  <c r="F96" i="60" s="1"/>
  <c r="H96" i="60" s="1"/>
  <c r="E58" i="53"/>
  <c r="G27" i="57"/>
  <c r="G52" i="60" a="1"/>
  <c r="G52" i="60" s="1"/>
  <c r="G51" i="60" a="1"/>
  <c r="G51" i="60" s="1"/>
  <c r="G11" i="60" a="1"/>
  <c r="G11" i="60" s="1"/>
  <c r="G10" i="60" a="1"/>
  <c r="G10" i="60" s="1"/>
  <c r="H140" i="56"/>
  <c r="E140" i="56"/>
  <c r="C92" i="59"/>
  <c r="E92" i="59" s="1"/>
  <c r="H86" i="59"/>
  <c r="D91" i="59"/>
  <c r="F46" i="59"/>
  <c r="C91" i="59"/>
  <c r="F76" i="59"/>
  <c r="C96" i="59" s="1"/>
  <c r="E96" i="59" s="1"/>
  <c r="H141" i="58"/>
  <c r="D143" i="58"/>
  <c r="F143" i="58" s="1"/>
  <c r="G143" i="58" s="1"/>
  <c r="H92" i="58"/>
  <c r="G137" i="58"/>
  <c r="G92" i="58"/>
  <c r="F132" i="58"/>
  <c r="E92" i="58"/>
  <c r="F78" i="58"/>
  <c r="F43" i="58"/>
  <c r="F52" i="58" s="1"/>
  <c r="H52" i="58"/>
  <c r="G28" i="57"/>
  <c r="F28" i="57"/>
  <c r="E132" i="58"/>
  <c r="H137" i="58"/>
  <c r="G132" i="58"/>
  <c r="H118" i="58"/>
  <c r="F27" i="57"/>
  <c r="G52" i="58"/>
  <c r="D27" i="57"/>
  <c r="E28" i="57"/>
  <c r="D28" i="57"/>
  <c r="C28" i="57"/>
  <c r="C27" i="57"/>
  <c r="E106" i="56"/>
  <c r="E25" i="56"/>
  <c r="H29" i="56"/>
  <c r="I101" i="56"/>
  <c r="G65" i="56"/>
  <c r="I65" i="56" s="1"/>
  <c r="I64" i="56"/>
  <c r="F66" i="56"/>
  <c r="F67" i="56" s="1"/>
  <c r="F68" i="56" s="1"/>
  <c r="F69" i="56" s="1"/>
  <c r="F70" i="56" s="1"/>
  <c r="F71" i="56" s="1"/>
  <c r="F72" i="56" s="1"/>
  <c r="F73" i="56" s="1"/>
  <c r="F74" i="56" s="1"/>
  <c r="F75" i="56" s="1"/>
  <c r="F76" i="56" s="1"/>
  <c r="F77" i="56" s="1"/>
  <c r="F78" i="56" s="1"/>
  <c r="F79" i="56" s="1"/>
  <c r="F80" i="56" s="1"/>
  <c r="F81" i="56" s="1"/>
  <c r="F82" i="56" s="1"/>
  <c r="F83" i="56" s="1"/>
  <c r="F84" i="56" s="1"/>
  <c r="F85" i="56" s="1"/>
  <c r="F86" i="56" s="1"/>
  <c r="F87" i="56" s="1"/>
  <c r="F88" i="56" s="1"/>
  <c r="F89" i="56" s="1"/>
  <c r="F90" i="56" s="1"/>
  <c r="F91" i="56" s="1"/>
  <c r="F92" i="56" s="1"/>
  <c r="F140" i="56"/>
  <c r="G140" i="56"/>
  <c r="D140" i="56"/>
  <c r="E67" i="56"/>
  <c r="E68" i="56" s="1"/>
  <c r="E69" i="56" s="1"/>
  <c r="E70" i="56" s="1"/>
  <c r="E71" i="56" s="1"/>
  <c r="E72" i="56" s="1"/>
  <c r="E73" i="56" s="1"/>
  <c r="E74" i="56" s="1"/>
  <c r="E75" i="56" s="1"/>
  <c r="E76" i="56" s="1"/>
  <c r="E77" i="56" s="1"/>
  <c r="E78" i="56" s="1"/>
  <c r="E79" i="56" s="1"/>
  <c r="E80" i="56" s="1"/>
  <c r="E81" i="56" s="1"/>
  <c r="E82" i="56" s="1"/>
  <c r="E83" i="56" s="1"/>
  <c r="E84" i="56" s="1"/>
  <c r="E85" i="56" s="1"/>
  <c r="E86" i="56" s="1"/>
  <c r="E87" i="56" s="1"/>
  <c r="E88" i="56" s="1"/>
  <c r="E89" i="56" s="1"/>
  <c r="E90" i="56" s="1"/>
  <c r="E91" i="56" s="1"/>
  <c r="E92" i="56" s="1"/>
  <c r="I100" i="56"/>
  <c r="C68" i="56"/>
  <c r="H68" i="56"/>
  <c r="H108" i="56"/>
  <c r="G105" i="56"/>
  <c r="G24" i="56"/>
  <c r="F106" i="56"/>
  <c r="F25" i="56"/>
  <c r="I23" i="56"/>
  <c r="F105" i="56"/>
  <c r="I102" i="56"/>
  <c r="C24" i="56"/>
  <c r="C105" i="56"/>
  <c r="I99" i="56"/>
  <c r="C98" i="53"/>
  <c r="J52" i="53"/>
  <c r="K52" i="53"/>
  <c r="O15" i="53"/>
  <c r="N15" i="53"/>
  <c r="A16" i="53"/>
  <c r="N16" i="53" s="1"/>
  <c r="O12" i="53"/>
  <c r="F27" i="52"/>
  <c r="F59" i="52"/>
  <c r="H24" i="52"/>
  <c r="H18" i="52"/>
  <c r="D59" i="52"/>
  <c r="F43" i="52"/>
  <c r="D27" i="52"/>
  <c r="F16" i="54" l="1"/>
  <c r="D107" i="56"/>
  <c r="G141" i="58"/>
  <c r="G146" i="58"/>
  <c r="H145" i="58"/>
  <c r="G148" i="58"/>
  <c r="G144" i="58"/>
  <c r="G140" i="58"/>
  <c r="G151" i="58"/>
  <c r="G149" i="58"/>
  <c r="H149" i="58"/>
  <c r="H142" i="58"/>
  <c r="H148" i="58"/>
  <c r="G97" i="59"/>
  <c r="H46" i="59"/>
  <c r="G101" i="59"/>
  <c r="G142" i="58"/>
  <c r="H146" i="58"/>
  <c r="G145" i="58"/>
  <c r="G139" i="58"/>
  <c r="G147" i="58"/>
  <c r="H147" i="58"/>
  <c r="H151" i="58"/>
  <c r="H150" i="58"/>
  <c r="H139" i="58"/>
  <c r="H140" i="58"/>
  <c r="H144" i="58"/>
  <c r="G105" i="59"/>
  <c r="H100" i="59"/>
  <c r="E66" i="52"/>
  <c r="H96" i="59"/>
  <c r="H105" i="59"/>
  <c r="G103" i="59"/>
  <c r="G98" i="59"/>
  <c r="G104" i="59"/>
  <c r="G95" i="59"/>
  <c r="H94" i="59"/>
  <c r="H102" i="59"/>
  <c r="G99" i="59"/>
  <c r="H93" i="59"/>
  <c r="D32" i="54"/>
  <c r="D20" i="54"/>
  <c r="D21" i="54"/>
  <c r="D33" i="54"/>
  <c r="D43" i="54"/>
  <c r="D31" i="54"/>
  <c r="D18" i="54"/>
  <c r="D22" i="54"/>
  <c r="D23" i="54"/>
  <c r="D34" i="54"/>
  <c r="D44" i="54"/>
  <c r="D35" i="54"/>
  <c r="D36" i="54"/>
  <c r="D27" i="54"/>
  <c r="D47" i="54"/>
  <c r="D38" i="54"/>
  <c r="D29" i="54"/>
  <c r="D39" i="54"/>
  <c r="D49" i="54"/>
  <c r="D41" i="54"/>
  <c r="D42" i="54"/>
  <c r="D24" i="54"/>
  <c r="D25" i="54"/>
  <c r="D45" i="54"/>
  <c r="D26" i="54"/>
  <c r="D46" i="54"/>
  <c r="D37" i="54"/>
  <c r="D28" i="54"/>
  <c r="D48" i="54"/>
  <c r="D16" i="54"/>
  <c r="D30" i="54"/>
  <c r="D40" i="54"/>
  <c r="D50" i="54"/>
  <c r="D17" i="54"/>
  <c r="D51" i="54"/>
  <c r="D19" i="54"/>
  <c r="D94" i="56"/>
  <c r="G102" i="59"/>
  <c r="H99" i="59"/>
  <c r="H104" i="59"/>
  <c r="G94" i="59"/>
  <c r="G100" i="59"/>
  <c r="H98" i="59"/>
  <c r="H95" i="59"/>
  <c r="G93" i="59"/>
  <c r="H103" i="59"/>
  <c r="H97" i="59"/>
  <c r="H92" i="59"/>
  <c r="G150" i="58"/>
  <c r="H59" i="52"/>
  <c r="E92" i="60"/>
  <c r="H92" i="60" s="1"/>
  <c r="E94" i="56"/>
  <c r="F94" i="56"/>
  <c r="D108" i="56"/>
  <c r="D27" i="56"/>
  <c r="A32" i="67"/>
  <c r="G141" i="56"/>
  <c r="F141" i="56"/>
  <c r="C22" i="65"/>
  <c r="B19" i="56"/>
  <c r="B101" i="56"/>
  <c r="B142" i="56"/>
  <c r="B184" i="56"/>
  <c r="I184" i="56" s="1"/>
  <c r="B23" i="65"/>
  <c r="B12" i="60"/>
  <c r="G12" i="60" s="1" a="1"/>
  <c r="G12" i="60" s="1"/>
  <c r="B53" i="60"/>
  <c r="G53" i="60" s="1" a="1"/>
  <c r="G53" i="60" s="1"/>
  <c r="B60" i="56"/>
  <c r="B18" i="54"/>
  <c r="G18" i="54" s="1"/>
  <c r="H141" i="56"/>
  <c r="D141" i="56"/>
  <c r="E141" i="56"/>
  <c r="H43" i="52"/>
  <c r="G96" i="60"/>
  <c r="D66" i="53"/>
  <c r="E66" i="53" s="1"/>
  <c r="H32" i="51" s="1"/>
  <c r="D69" i="53"/>
  <c r="E69" i="53" s="1"/>
  <c r="H35" i="51" s="1"/>
  <c r="D72" i="53"/>
  <c r="E72" i="53" s="1"/>
  <c r="D75" i="53"/>
  <c r="E75" i="53" s="1"/>
  <c r="H41" i="51" s="1"/>
  <c r="I41" i="51" s="1"/>
  <c r="D78" i="53"/>
  <c r="E78" i="53" s="1"/>
  <c r="H44" i="51" s="1"/>
  <c r="D81" i="53"/>
  <c r="E81" i="53" s="1"/>
  <c r="H47" i="51" s="1"/>
  <c r="D84" i="53"/>
  <c r="E84" i="53" s="1"/>
  <c r="H50" i="51" s="1"/>
  <c r="J50" i="51" s="1"/>
  <c r="D87" i="53"/>
  <c r="E87" i="53" s="1"/>
  <c r="H53" i="51" s="1"/>
  <c r="I53" i="51" s="1"/>
  <c r="D90" i="53"/>
  <c r="E90" i="53" s="1"/>
  <c r="H56" i="51" s="1"/>
  <c r="D93" i="53"/>
  <c r="E93" i="53" s="1"/>
  <c r="H59" i="51" s="1"/>
  <c r="D70" i="53"/>
  <c r="E70" i="53" s="1"/>
  <c r="H36" i="51" s="1"/>
  <c r="J36" i="51" s="1"/>
  <c r="D73" i="53"/>
  <c r="E73" i="53" s="1"/>
  <c r="H39" i="51" s="1"/>
  <c r="I39" i="51" s="1"/>
  <c r="D76" i="53"/>
  <c r="E76" i="53" s="1"/>
  <c r="H42" i="51" s="1"/>
  <c r="J42" i="51" s="1"/>
  <c r="D82" i="53"/>
  <c r="E82" i="53" s="1"/>
  <c r="H48" i="51" s="1"/>
  <c r="J48" i="51" s="1"/>
  <c r="D85" i="53"/>
  <c r="E85" i="53" s="1"/>
  <c r="H51" i="51" s="1"/>
  <c r="J51" i="51" s="1"/>
  <c r="D91" i="53"/>
  <c r="E91" i="53" s="1"/>
  <c r="H57" i="51" s="1"/>
  <c r="J57" i="51" s="1"/>
  <c r="D67" i="53"/>
  <c r="E67" i="53" s="1"/>
  <c r="H33" i="51" s="1"/>
  <c r="J33" i="51" s="1"/>
  <c r="D79" i="53"/>
  <c r="E79" i="53" s="1"/>
  <c r="H45" i="51" s="1"/>
  <c r="J45" i="51" s="1"/>
  <c r="D88" i="53"/>
  <c r="E88" i="53" s="1"/>
  <c r="H54" i="51" s="1"/>
  <c r="I54" i="51" s="1"/>
  <c r="D64" i="53"/>
  <c r="D65" i="53"/>
  <c r="E65" i="53" s="1"/>
  <c r="H31" i="51" s="1"/>
  <c r="I31" i="51" s="1"/>
  <c r="D68" i="53"/>
  <c r="E68" i="53" s="1"/>
  <c r="H34" i="51" s="1"/>
  <c r="D71" i="53"/>
  <c r="E71" i="53" s="1"/>
  <c r="H37" i="51" s="1"/>
  <c r="D74" i="53"/>
  <c r="E74" i="53" s="1"/>
  <c r="H40" i="51" s="1"/>
  <c r="I40" i="51" s="1"/>
  <c r="D77" i="53"/>
  <c r="E77" i="53" s="1"/>
  <c r="H43" i="51" s="1"/>
  <c r="J43" i="51" s="1"/>
  <c r="D80" i="53"/>
  <c r="E80" i="53" s="1"/>
  <c r="H46" i="51" s="1"/>
  <c r="D83" i="53"/>
  <c r="E83" i="53" s="1"/>
  <c r="H49" i="51" s="1"/>
  <c r="D86" i="53"/>
  <c r="E86" i="53" s="1"/>
  <c r="H52" i="51" s="1"/>
  <c r="I52" i="51" s="1"/>
  <c r="D89" i="53"/>
  <c r="E89" i="53" s="1"/>
  <c r="H55" i="51" s="1"/>
  <c r="J55" i="51" s="1"/>
  <c r="D92" i="53"/>
  <c r="E92" i="53" s="1"/>
  <c r="H58" i="51" s="1"/>
  <c r="H11" i="60" a="1"/>
  <c r="H11" i="60" s="1"/>
  <c r="C51" i="60" a="1"/>
  <c r="C51" i="60" s="1"/>
  <c r="E11" i="60" a="1"/>
  <c r="E11" i="60" s="1"/>
  <c r="D52" i="60" a="1"/>
  <c r="D52" i="60" s="1"/>
  <c r="C93" i="60"/>
  <c r="E93" i="60" s="1"/>
  <c r="D93" i="60"/>
  <c r="B94" i="60"/>
  <c r="B95" i="60" s="1"/>
  <c r="G58" i="53"/>
  <c r="F58" i="53"/>
  <c r="H24" i="51"/>
  <c r="E10" i="60" a="1"/>
  <c r="E10" i="60" s="1"/>
  <c r="F10" i="60" a="1"/>
  <c r="F10" i="60" s="1"/>
  <c r="H52" i="60" a="1"/>
  <c r="H52" i="60" s="1"/>
  <c r="H10" i="60" a="1"/>
  <c r="H10" i="60" s="1"/>
  <c r="C10" i="60" a="1"/>
  <c r="C10" i="60" s="1"/>
  <c r="D51" i="60" a="1"/>
  <c r="D51" i="60" s="1"/>
  <c r="F52" i="60" a="1"/>
  <c r="F52" i="60" s="1"/>
  <c r="E52" i="60" a="1"/>
  <c r="E52" i="60" s="1"/>
  <c r="C52" i="60" a="1"/>
  <c r="C52" i="60" s="1"/>
  <c r="D11" i="60" a="1"/>
  <c r="D11" i="60" s="1"/>
  <c r="D10" i="60" a="1"/>
  <c r="D10" i="60" s="1"/>
  <c r="E51" i="60" a="1"/>
  <c r="E51" i="60" s="1"/>
  <c r="H51" i="60" a="1"/>
  <c r="H51" i="60" s="1"/>
  <c r="F11" i="60" a="1"/>
  <c r="F11" i="60" s="1"/>
  <c r="F51" i="60" a="1"/>
  <c r="F51" i="60" s="1"/>
  <c r="C11" i="60" a="1"/>
  <c r="C11" i="60" s="1"/>
  <c r="B99" i="60"/>
  <c r="G92" i="59"/>
  <c r="E91" i="59"/>
  <c r="C106" i="59"/>
  <c r="F91" i="59"/>
  <c r="D106" i="59"/>
  <c r="F86" i="59"/>
  <c r="G96" i="59"/>
  <c r="H143" i="58"/>
  <c r="F92" i="58"/>
  <c r="C138" i="58"/>
  <c r="E138" i="58" s="1"/>
  <c r="H132" i="58"/>
  <c r="D138" i="58"/>
  <c r="F138" i="58" s="1"/>
  <c r="F107" i="56"/>
  <c r="F26" i="56"/>
  <c r="I24" i="56"/>
  <c r="C25" i="56"/>
  <c r="C106" i="56"/>
  <c r="H69" i="56"/>
  <c r="H109" i="56"/>
  <c r="C69" i="56"/>
  <c r="E26" i="56"/>
  <c r="E107" i="56"/>
  <c r="G25" i="56"/>
  <c r="G106" i="56"/>
  <c r="G66" i="56"/>
  <c r="I140" i="56"/>
  <c r="H30" i="56"/>
  <c r="I105" i="56"/>
  <c r="O16" i="53"/>
  <c r="A17" i="53"/>
  <c r="A18" i="53" s="1"/>
  <c r="I55" i="51"/>
  <c r="D66" i="52"/>
  <c r="H27" i="52"/>
  <c r="I33" i="51" l="1"/>
  <c r="I57" i="51"/>
  <c r="J40" i="51"/>
  <c r="I36" i="51"/>
  <c r="C95" i="60"/>
  <c r="E95" i="60" s="1"/>
  <c r="D95" i="60"/>
  <c r="F95" i="60" s="1"/>
  <c r="D53" i="60" a="1"/>
  <c r="D53" i="60" s="1"/>
  <c r="I48" i="51"/>
  <c r="J31" i="51"/>
  <c r="H38" i="51"/>
  <c r="I38" i="51" s="1"/>
  <c r="J39" i="51"/>
  <c r="F27" i="54"/>
  <c r="E27" i="54" s="1"/>
  <c r="F47" i="54"/>
  <c r="E47" i="54" s="1"/>
  <c r="F29" i="54"/>
  <c r="E29" i="54" s="1"/>
  <c r="F42" i="54"/>
  <c r="E42" i="54" s="1"/>
  <c r="F28" i="54"/>
  <c r="E28" i="54" s="1"/>
  <c r="F41" i="54"/>
  <c r="E41" i="54" s="1"/>
  <c r="F36" i="54"/>
  <c r="E36" i="54" s="1"/>
  <c r="F49" i="54"/>
  <c r="E49" i="54" s="1"/>
  <c r="F48" i="54"/>
  <c r="E48" i="54" s="1"/>
  <c r="F39" i="54"/>
  <c r="E39" i="54" s="1"/>
  <c r="F35" i="54"/>
  <c r="E35" i="54" s="1"/>
  <c r="F32" i="54"/>
  <c r="E32" i="54" s="1"/>
  <c r="F46" i="54"/>
  <c r="E46" i="54" s="1"/>
  <c r="F31" i="54"/>
  <c r="E31" i="54" s="1"/>
  <c r="F38" i="54"/>
  <c r="E38" i="54" s="1"/>
  <c r="F18" i="54"/>
  <c r="E18" i="54" s="1"/>
  <c r="F22" i="54"/>
  <c r="E22" i="54" s="1"/>
  <c r="F19" i="54"/>
  <c r="E19" i="54" s="1"/>
  <c r="E16" i="54"/>
  <c r="F24" i="54"/>
  <c r="E24" i="54" s="1"/>
  <c r="F23" i="54"/>
  <c r="E23" i="54" s="1"/>
  <c r="F21" i="54"/>
  <c r="F20" i="54"/>
  <c r="E20" i="54" s="1"/>
  <c r="F17" i="54"/>
  <c r="D52" i="54"/>
  <c r="F44" i="54"/>
  <c r="E44" i="54" s="1"/>
  <c r="F34" i="54"/>
  <c r="E34" i="54" s="1"/>
  <c r="F50" i="54"/>
  <c r="E50" i="54" s="1"/>
  <c r="F51" i="54"/>
  <c r="E51" i="54" s="1"/>
  <c r="F37" i="54"/>
  <c r="E37" i="54" s="1"/>
  <c r="F45" i="54"/>
  <c r="E45" i="54" s="1"/>
  <c r="F40" i="54"/>
  <c r="E40" i="54" s="1"/>
  <c r="F43" i="54"/>
  <c r="E43" i="54" s="1"/>
  <c r="F26" i="54"/>
  <c r="E26" i="54" s="1"/>
  <c r="F25" i="54"/>
  <c r="E25" i="54" s="1"/>
  <c r="F30" i="54"/>
  <c r="E30" i="54" s="1"/>
  <c r="F33" i="54"/>
  <c r="E33" i="54" s="1"/>
  <c r="G66" i="52"/>
  <c r="G92" i="60"/>
  <c r="F93" i="60"/>
  <c r="H93" i="60" s="1"/>
  <c r="D109" i="56"/>
  <c r="D28" i="56"/>
  <c r="I45" i="51"/>
  <c r="I51" i="51"/>
  <c r="J53" i="51"/>
  <c r="J52" i="51"/>
  <c r="J54" i="51"/>
  <c r="C12" i="60" a="1"/>
  <c r="C12" i="60" s="1"/>
  <c r="H12" i="60" a="1"/>
  <c r="H12" i="60" s="1"/>
  <c r="D12" i="60" a="1"/>
  <c r="D12" i="60" s="1"/>
  <c r="A33" i="67"/>
  <c r="I141" i="56"/>
  <c r="F53" i="60" a="1"/>
  <c r="F53" i="60" s="1"/>
  <c r="C53" i="60" a="1"/>
  <c r="C53" i="60" s="1"/>
  <c r="B13" i="60"/>
  <c r="B54" i="60"/>
  <c r="B61" i="56"/>
  <c r="B143" i="56"/>
  <c r="B185" i="56"/>
  <c r="I185" i="56" s="1"/>
  <c r="B20" i="56"/>
  <c r="B24" i="65"/>
  <c r="B102" i="56"/>
  <c r="C23" i="65"/>
  <c r="B19" i="54"/>
  <c r="G19" i="54" s="1"/>
  <c r="F12" i="60" a="1"/>
  <c r="F12" i="60" s="1"/>
  <c r="H53" i="60" a="1"/>
  <c r="H53" i="60" s="1"/>
  <c r="E53" i="60" a="1"/>
  <c r="E53" i="60" s="1"/>
  <c r="E12" i="60" a="1"/>
  <c r="E12" i="60" s="1"/>
  <c r="C142" i="56"/>
  <c r="E142" i="56"/>
  <c r="D142" i="56"/>
  <c r="H142" i="56"/>
  <c r="G142" i="56"/>
  <c r="F142" i="56"/>
  <c r="J32" i="51"/>
  <c r="I32" i="51"/>
  <c r="I42" i="51"/>
  <c r="I43" i="51"/>
  <c r="J58" i="51"/>
  <c r="I58" i="51"/>
  <c r="I47" i="51"/>
  <c r="J47" i="51"/>
  <c r="J41" i="51"/>
  <c r="I50" i="51"/>
  <c r="J37" i="51"/>
  <c r="I37" i="51"/>
  <c r="J44" i="51"/>
  <c r="I44" i="51"/>
  <c r="J34" i="51"/>
  <c r="I34" i="51"/>
  <c r="I59" i="51"/>
  <c r="J59" i="51"/>
  <c r="J49" i="51"/>
  <c r="I49" i="51"/>
  <c r="J56" i="51"/>
  <c r="I56" i="51"/>
  <c r="J46" i="51"/>
  <c r="I46" i="51"/>
  <c r="D98" i="53"/>
  <c r="E64" i="53"/>
  <c r="H30" i="51" s="1"/>
  <c r="I35" i="51"/>
  <c r="J35" i="51"/>
  <c r="D94" i="60"/>
  <c r="F94" i="60" s="1"/>
  <c r="C94" i="60"/>
  <c r="E94" i="60" s="1"/>
  <c r="J24" i="51"/>
  <c r="I24" i="51"/>
  <c r="B100" i="60"/>
  <c r="F106" i="59"/>
  <c r="G91" i="59"/>
  <c r="G106" i="59" s="1"/>
  <c r="E106" i="59"/>
  <c r="H91" i="59"/>
  <c r="H106" i="59" s="1"/>
  <c r="H22" i="57" s="1" a="1"/>
  <c r="H22" i="57" s="1"/>
  <c r="H138" i="58"/>
  <c r="H152" i="58" s="1"/>
  <c r="H16" i="57" s="1" a="1"/>
  <c r="H16" i="57" s="1"/>
  <c r="E152" i="58"/>
  <c r="G138" i="58"/>
  <c r="G152" i="58" s="1"/>
  <c r="F152" i="58"/>
  <c r="G67" i="56"/>
  <c r="I66" i="56"/>
  <c r="G26" i="56"/>
  <c r="G107" i="56"/>
  <c r="E108" i="56"/>
  <c r="E27" i="56"/>
  <c r="C70" i="56"/>
  <c r="H31" i="56"/>
  <c r="F27" i="56"/>
  <c r="F108" i="56"/>
  <c r="H70" i="56"/>
  <c r="H110" i="56"/>
  <c r="I106" i="56"/>
  <c r="I25" i="56"/>
  <c r="C26" i="56"/>
  <c r="C107" i="56"/>
  <c r="A19" i="53"/>
  <c r="G95" i="60" l="1"/>
  <c r="H95" i="60"/>
  <c r="J38" i="51"/>
  <c r="I22" i="57"/>
  <c r="H28" i="57"/>
  <c r="I28" i="57" s="1"/>
  <c r="G21" i="54" a="1"/>
  <c r="G21" i="54" s="1"/>
  <c r="G22" i="54" a="1"/>
  <c r="G22" i="54" s="1"/>
  <c r="C18" i="53" s="1"/>
  <c r="F52" i="54"/>
  <c r="E17" i="54"/>
  <c r="E21" i="54"/>
  <c r="G93" i="60"/>
  <c r="D110" i="56"/>
  <c r="D29" i="56"/>
  <c r="G64" i="53"/>
  <c r="F64" i="53"/>
  <c r="A34" i="67"/>
  <c r="G54" i="60" a="1"/>
  <c r="G54" i="60" s="1"/>
  <c r="F54" i="60" a="1"/>
  <c r="F54" i="60" s="1"/>
  <c r="H54" i="60" a="1"/>
  <c r="H54" i="60" s="1"/>
  <c r="D54" i="60" a="1"/>
  <c r="D54" i="60" s="1"/>
  <c r="E54" i="60" a="1"/>
  <c r="E54" i="60" s="1"/>
  <c r="C54" i="60" a="1"/>
  <c r="C54" i="60" s="1"/>
  <c r="B20" i="54"/>
  <c r="G20" i="54" s="1"/>
  <c r="B62" i="56"/>
  <c r="B144" i="56"/>
  <c r="B186" i="56"/>
  <c r="I186" i="56" s="1"/>
  <c r="B14" i="60"/>
  <c r="B55" i="60"/>
  <c r="C24" i="65"/>
  <c r="B25" i="65"/>
  <c r="B103" i="56"/>
  <c r="B21" i="56"/>
  <c r="G13" i="60" a="1"/>
  <c r="G13" i="60" s="1"/>
  <c r="C13" i="60" a="1"/>
  <c r="C13" i="60" s="1"/>
  <c r="F13" i="60" a="1"/>
  <c r="F13" i="60" s="1"/>
  <c r="E13" i="60" a="1"/>
  <c r="E13" i="60" s="1"/>
  <c r="D13" i="60" a="1"/>
  <c r="D13" i="60" s="1"/>
  <c r="H13" i="60" a="1"/>
  <c r="H13" i="60" s="1"/>
  <c r="I142" i="56"/>
  <c r="H143" i="56"/>
  <c r="E143" i="56"/>
  <c r="G143" i="56"/>
  <c r="F143" i="56"/>
  <c r="C143" i="56"/>
  <c r="D143" i="56"/>
  <c r="J30" i="51"/>
  <c r="I30" i="51"/>
  <c r="H94" i="60"/>
  <c r="G94" i="60"/>
  <c r="B101" i="60"/>
  <c r="I16" i="57"/>
  <c r="F28" i="56"/>
  <c r="F109" i="56"/>
  <c r="C71" i="56"/>
  <c r="G68" i="56"/>
  <c r="I67" i="56"/>
  <c r="C27" i="56"/>
  <c r="C108" i="56"/>
  <c r="I26" i="56"/>
  <c r="I107" i="56"/>
  <c r="H32" i="56"/>
  <c r="H71" i="56"/>
  <c r="H111" i="56"/>
  <c r="G27" i="56"/>
  <c r="G108" i="56"/>
  <c r="E28" i="56"/>
  <c r="E109" i="56"/>
  <c r="A20" i="53"/>
  <c r="F65" i="53"/>
  <c r="G65" i="53"/>
  <c r="G23" i="54" l="1"/>
  <c r="E52" i="54"/>
  <c r="D111" i="56"/>
  <c r="D30" i="56"/>
  <c r="A35" i="67"/>
  <c r="C25" i="65"/>
  <c r="B22" i="56"/>
  <c r="B26" i="65"/>
  <c r="B15" i="60"/>
  <c r="B56" i="60"/>
  <c r="B21" i="54"/>
  <c r="C17" i="53" s="1"/>
  <c r="B104" i="56"/>
  <c r="D17" i="55" s="1" a="1"/>
  <c r="D17" i="55" s="1"/>
  <c r="B145" i="56"/>
  <c r="B187" i="56"/>
  <c r="B63" i="56"/>
  <c r="G144" i="56"/>
  <c r="D144" i="56"/>
  <c r="F144" i="56"/>
  <c r="C144" i="56"/>
  <c r="H144" i="56"/>
  <c r="E144" i="56"/>
  <c r="G55" i="60" a="1"/>
  <c r="G55" i="60" s="1"/>
  <c r="E55" i="60" a="1"/>
  <c r="E55" i="60" s="1"/>
  <c r="C55" i="60" a="1"/>
  <c r="C55" i="60" s="1"/>
  <c r="F55" i="60" a="1"/>
  <c r="F55" i="60" s="1"/>
  <c r="H55" i="60" a="1"/>
  <c r="H55" i="60" s="1"/>
  <c r="D55" i="60" a="1"/>
  <c r="D55" i="60" s="1"/>
  <c r="I143" i="56"/>
  <c r="G14" i="60" a="1"/>
  <c r="G14" i="60" s="1"/>
  <c r="D14" i="60" a="1"/>
  <c r="D14" i="60" s="1"/>
  <c r="F14" i="60" a="1"/>
  <c r="F14" i="60" s="1"/>
  <c r="C14" i="60" a="1"/>
  <c r="C14" i="60" s="1"/>
  <c r="E14" i="60" a="1"/>
  <c r="E14" i="60" s="1"/>
  <c r="H14" i="60" a="1"/>
  <c r="H14" i="60" s="1"/>
  <c r="G24" i="54"/>
  <c r="C19" i="53"/>
  <c r="B102" i="60"/>
  <c r="H72" i="56"/>
  <c r="H112" i="56"/>
  <c r="I108" i="56"/>
  <c r="C72" i="56"/>
  <c r="H33" i="56"/>
  <c r="I27" i="56"/>
  <c r="C109" i="56"/>
  <c r="C28" i="56"/>
  <c r="G28" i="56"/>
  <c r="G109" i="56"/>
  <c r="F29" i="56"/>
  <c r="F110" i="56"/>
  <c r="E29" i="56"/>
  <c r="E110" i="56"/>
  <c r="G69" i="56"/>
  <c r="I68" i="56"/>
  <c r="A21" i="53"/>
  <c r="F66" i="53"/>
  <c r="G66" i="53"/>
  <c r="D31" i="56" l="1"/>
  <c r="D112" i="56"/>
  <c r="G17" i="55" a="1"/>
  <c r="G17" i="55" s="1"/>
  <c r="F17" i="55" a="1"/>
  <c r="F17" i="55" s="1"/>
  <c r="A36" i="67"/>
  <c r="C17" i="55" a="1"/>
  <c r="C17" i="55" s="1"/>
  <c r="E17" i="55" a="1"/>
  <c r="E17" i="55" s="1"/>
  <c r="H17" i="55" a="1"/>
  <c r="H17" i="55" s="1"/>
  <c r="I144" i="56"/>
  <c r="D56" i="60" a="1"/>
  <c r="D56" i="60" s="1"/>
  <c r="G56" i="60" a="1"/>
  <c r="G56" i="60" s="1"/>
  <c r="F56" i="60" a="1"/>
  <c r="F56" i="60" s="1"/>
  <c r="E56" i="60" a="1"/>
  <c r="E56" i="60" s="1"/>
  <c r="C56" i="60" a="1"/>
  <c r="C56" i="60" s="1"/>
  <c r="H56" i="60" a="1"/>
  <c r="H56" i="60" s="1"/>
  <c r="C15" i="60" a="1"/>
  <c r="C15" i="60" s="1"/>
  <c r="E15" i="60" a="1"/>
  <c r="E15" i="60" s="1"/>
  <c r="F15" i="60" a="1"/>
  <c r="F15" i="60" s="1"/>
  <c r="D15" i="60" a="1"/>
  <c r="D15" i="60" s="1"/>
  <c r="G15" i="60" a="1"/>
  <c r="G15" i="60" s="1"/>
  <c r="H15" i="60" a="1"/>
  <c r="H15" i="60" s="1"/>
  <c r="B64" i="56"/>
  <c r="B23" i="56"/>
  <c r="C26" i="65"/>
  <c r="B27" i="65"/>
  <c r="B16" i="60"/>
  <c r="B57" i="60"/>
  <c r="B105" i="56"/>
  <c r="B22" i="54"/>
  <c r="B146" i="56"/>
  <c r="B188" i="56"/>
  <c r="C145" i="56"/>
  <c r="H145" i="56"/>
  <c r="H29" i="55" s="1" a="1"/>
  <c r="H29" i="55" s="1"/>
  <c r="H187" i="56" s="1"/>
  <c r="E145" i="56"/>
  <c r="E29" i="55" s="1" a="1"/>
  <c r="E29" i="55" s="1"/>
  <c r="E187" i="56" s="1"/>
  <c r="D145" i="56"/>
  <c r="D29" i="55" s="1" a="1"/>
  <c r="D29" i="55" s="1"/>
  <c r="D187" i="56" s="1"/>
  <c r="F145" i="56"/>
  <c r="F29" i="55" s="1" a="1"/>
  <c r="F29" i="55" s="1"/>
  <c r="F187" i="56" s="1"/>
  <c r="G145" i="56"/>
  <c r="G29" i="55" s="1" a="1"/>
  <c r="G29" i="55" s="1"/>
  <c r="G187" i="56" s="1"/>
  <c r="C29" i="55" a="1"/>
  <c r="C29" i="55" s="1"/>
  <c r="C20" i="53"/>
  <c r="G25" i="54"/>
  <c r="B103" i="60"/>
  <c r="G70" i="56"/>
  <c r="I69" i="56"/>
  <c r="H34" i="56"/>
  <c r="I109" i="56"/>
  <c r="F30" i="56"/>
  <c r="F111" i="56"/>
  <c r="G110" i="56"/>
  <c r="G29" i="56"/>
  <c r="C73" i="56"/>
  <c r="E30" i="56"/>
  <c r="E111" i="56"/>
  <c r="C110" i="56"/>
  <c r="I28" i="56"/>
  <c r="C29" i="56"/>
  <c r="H73" i="56"/>
  <c r="H113" i="56"/>
  <c r="A22" i="53"/>
  <c r="G67" i="53"/>
  <c r="F67" i="53"/>
  <c r="D32" i="56" l="1"/>
  <c r="D113" i="56"/>
  <c r="A37" i="67"/>
  <c r="I17" i="55"/>
  <c r="F18" i="55" a="1"/>
  <c r="F18" i="55" s="1"/>
  <c r="G18" i="55" a="1"/>
  <c r="G18" i="55" s="1"/>
  <c r="E18" i="55" a="1"/>
  <c r="E18" i="55" s="1"/>
  <c r="C187" i="56"/>
  <c r="I187" i="56" s="1"/>
  <c r="I29" i="55"/>
  <c r="I145" i="56"/>
  <c r="G57" i="60" a="1"/>
  <c r="G57" i="60" s="1"/>
  <c r="H57" i="60" a="1"/>
  <c r="H57" i="60" s="1"/>
  <c r="E57" i="60" a="1"/>
  <c r="E57" i="60" s="1"/>
  <c r="D57" i="60" a="1"/>
  <c r="D57" i="60" s="1"/>
  <c r="C57" i="60" a="1"/>
  <c r="C57" i="60" s="1"/>
  <c r="F57" i="60" a="1"/>
  <c r="F57" i="60" s="1"/>
  <c r="C18" i="55" a="1"/>
  <c r="C18" i="55" s="1"/>
  <c r="G16" i="60" a="1"/>
  <c r="G16" i="60" s="1"/>
  <c r="E16" i="60" a="1"/>
  <c r="E16" i="60" s="1"/>
  <c r="F16" i="60" a="1"/>
  <c r="F16" i="60" s="1"/>
  <c r="C16" i="60" a="1"/>
  <c r="C16" i="60" s="1"/>
  <c r="D16" i="60" a="1"/>
  <c r="D16" i="60" s="1"/>
  <c r="H16" i="60" a="1"/>
  <c r="H16" i="60" s="1"/>
  <c r="D18" i="55" a="1"/>
  <c r="D18" i="55" s="1"/>
  <c r="B23" i="54"/>
  <c r="B65" i="56"/>
  <c r="C27" i="65"/>
  <c r="B17" i="60"/>
  <c r="B58" i="60"/>
  <c r="B28" i="65"/>
  <c r="B147" i="56"/>
  <c r="B189" i="56"/>
  <c r="B24" i="56"/>
  <c r="B106" i="56"/>
  <c r="H18" i="55" a="1"/>
  <c r="H18" i="55" s="1"/>
  <c r="E146" i="56"/>
  <c r="E30" i="55" s="1" a="1"/>
  <c r="E30" i="55" s="1"/>
  <c r="E188" i="56" s="1"/>
  <c r="D146" i="56"/>
  <c r="D30" i="55" s="1" a="1"/>
  <c r="D30" i="55" s="1"/>
  <c r="D188" i="56" s="1"/>
  <c r="H146" i="56"/>
  <c r="H30" i="55" s="1" a="1"/>
  <c r="H30" i="55" s="1"/>
  <c r="H188" i="56" s="1"/>
  <c r="G146" i="56"/>
  <c r="F146" i="56"/>
  <c r="F30" i="55" s="1" a="1"/>
  <c r="F30" i="55" s="1"/>
  <c r="F188" i="56" s="1"/>
  <c r="C146" i="56"/>
  <c r="C30" i="55" s="1" a="1"/>
  <c r="C30" i="55" s="1"/>
  <c r="G30" i="55" a="1"/>
  <c r="G30" i="55" s="1"/>
  <c r="G188" i="56" s="1"/>
  <c r="G19" i="55" a="1"/>
  <c r="G19" i="55" s="1"/>
  <c r="G26" i="54"/>
  <c r="C21" i="53"/>
  <c r="B104" i="60"/>
  <c r="E31" i="56"/>
  <c r="E112" i="56"/>
  <c r="G71" i="56"/>
  <c r="I70" i="56"/>
  <c r="H74" i="56"/>
  <c r="H114" i="56"/>
  <c r="C30" i="56"/>
  <c r="C111" i="56"/>
  <c r="I29" i="56"/>
  <c r="F112" i="56"/>
  <c r="F31" i="56"/>
  <c r="H35" i="56"/>
  <c r="I110" i="56"/>
  <c r="C74" i="56"/>
  <c r="G111" i="56"/>
  <c r="G30" i="56"/>
  <c r="A23" i="53"/>
  <c r="F68" i="53"/>
  <c r="G68" i="53"/>
  <c r="D33" i="56" l="1"/>
  <c r="D114" i="56"/>
  <c r="A38" i="67"/>
  <c r="C97" i="60"/>
  <c r="D97" i="60"/>
  <c r="F19" i="55" a="1"/>
  <c r="F19" i="55" s="1"/>
  <c r="I146" i="56"/>
  <c r="H147" i="56"/>
  <c r="D147" i="56"/>
  <c r="D31" i="55" s="1" a="1"/>
  <c r="D31" i="55" s="1"/>
  <c r="D189" i="56" s="1"/>
  <c r="E147" i="56"/>
  <c r="E31" i="55" s="1" a="1"/>
  <c r="E31" i="55" s="1"/>
  <c r="E189" i="56" s="1"/>
  <c r="F147" i="56"/>
  <c r="F31" i="55" s="1" a="1"/>
  <c r="F31" i="55" s="1"/>
  <c r="F189" i="56" s="1"/>
  <c r="G147" i="56"/>
  <c r="G31" i="55" s="1" a="1"/>
  <c r="G31" i="55" s="1"/>
  <c r="G189" i="56" s="1"/>
  <c r="C147" i="56"/>
  <c r="H31" i="55" a="1"/>
  <c r="H31" i="55" s="1"/>
  <c r="H189" i="56" s="1"/>
  <c r="C31" i="55" a="1"/>
  <c r="C31" i="55" s="1"/>
  <c r="C28" i="65"/>
  <c r="B148" i="56"/>
  <c r="B190" i="56"/>
  <c r="B29" i="65"/>
  <c r="B25" i="56"/>
  <c r="B18" i="60"/>
  <c r="B59" i="60"/>
  <c r="B66" i="56"/>
  <c r="B107" i="56"/>
  <c r="G20" i="55" s="1" a="1"/>
  <c r="G20" i="55" s="1"/>
  <c r="B24" i="54"/>
  <c r="H19" i="55" a="1"/>
  <c r="H19" i="55" s="1"/>
  <c r="I18" i="55"/>
  <c r="C19" i="55" a="1"/>
  <c r="C19" i="55" s="1"/>
  <c r="I30" i="55"/>
  <c r="C188" i="56"/>
  <c r="I188" i="56" s="1"/>
  <c r="G58" i="60" a="1"/>
  <c r="G58" i="60" s="1"/>
  <c r="D58" i="60" a="1"/>
  <c r="D58" i="60" s="1"/>
  <c r="H58" i="60" a="1"/>
  <c r="H58" i="60" s="1"/>
  <c r="C58" i="60" a="1"/>
  <c r="C58" i="60" s="1"/>
  <c r="F58" i="60" a="1"/>
  <c r="F58" i="60" s="1"/>
  <c r="E58" i="60" a="1"/>
  <c r="E58" i="60" s="1"/>
  <c r="E19" i="55" a="1"/>
  <c r="E19" i="55" s="1"/>
  <c r="D19" i="55" a="1"/>
  <c r="D19" i="55" s="1"/>
  <c r="G17" i="60" a="1"/>
  <c r="G17" i="60" s="1"/>
  <c r="C17" i="60" a="1"/>
  <c r="C17" i="60" s="1"/>
  <c r="H17" i="60" a="1"/>
  <c r="H17" i="60" s="1"/>
  <c r="E17" i="60" a="1"/>
  <c r="E17" i="60" s="1"/>
  <c r="D17" i="60" a="1"/>
  <c r="D17" i="60" s="1"/>
  <c r="F17" i="60" a="1"/>
  <c r="F17" i="60" s="1"/>
  <c r="G27" i="54"/>
  <c r="C22" i="53"/>
  <c r="B105" i="60"/>
  <c r="C75" i="56"/>
  <c r="I111" i="56"/>
  <c r="I30" i="56"/>
  <c r="C31" i="56"/>
  <c r="C112" i="56"/>
  <c r="G31" i="56"/>
  <c r="G112" i="56"/>
  <c r="F32" i="56"/>
  <c r="F113" i="56"/>
  <c r="H75" i="56"/>
  <c r="H115" i="56"/>
  <c r="E32" i="56"/>
  <c r="E113" i="56"/>
  <c r="H36" i="56"/>
  <c r="G72" i="56"/>
  <c r="I71" i="56"/>
  <c r="A24" i="53"/>
  <c r="F69" i="53"/>
  <c r="G69" i="53"/>
  <c r="E97" i="60" l="1"/>
  <c r="F97" i="60"/>
  <c r="D34" i="56"/>
  <c r="D115" i="56"/>
  <c r="A39" i="67"/>
  <c r="I147" i="56"/>
  <c r="B19" i="60"/>
  <c r="B60" i="60"/>
  <c r="C29" i="65"/>
  <c r="B149" i="56"/>
  <c r="B30" i="65"/>
  <c r="B26" i="56"/>
  <c r="B108" i="56"/>
  <c r="E21" i="55" s="1" a="1"/>
  <c r="E21" i="55" s="1"/>
  <c r="B191" i="56"/>
  <c r="B67" i="56"/>
  <c r="B25" i="54"/>
  <c r="F20" i="55" a="1"/>
  <c r="F20" i="55" s="1"/>
  <c r="I31" i="55"/>
  <c r="C189" i="56"/>
  <c r="I189" i="56" s="1"/>
  <c r="I19" i="55"/>
  <c r="D148" i="56"/>
  <c r="D32" i="55" s="1" a="1"/>
  <c r="D32" i="55" s="1"/>
  <c r="D190" i="56" s="1"/>
  <c r="H148" i="56"/>
  <c r="H32" i="55" s="1" a="1"/>
  <c r="H32" i="55" s="1"/>
  <c r="H190" i="56" s="1"/>
  <c r="F148" i="56"/>
  <c r="F32" i="55" s="1" a="1"/>
  <c r="F32" i="55" s="1"/>
  <c r="F190" i="56" s="1"/>
  <c r="E148" i="56"/>
  <c r="E32" i="55" s="1" a="1"/>
  <c r="E32" i="55" s="1"/>
  <c r="E190" i="56" s="1"/>
  <c r="C148" i="56"/>
  <c r="G148" i="56"/>
  <c r="G32" i="55" s="1" a="1"/>
  <c r="G32" i="55" s="1"/>
  <c r="G190" i="56" s="1"/>
  <c r="C98" i="60"/>
  <c r="E98" i="60" s="1"/>
  <c r="D98" i="60"/>
  <c r="F98" i="60" s="1"/>
  <c r="G59" i="60" a="1"/>
  <c r="G59" i="60" s="1"/>
  <c r="H59" i="60" a="1"/>
  <c r="H59" i="60" s="1"/>
  <c r="E59" i="60" a="1"/>
  <c r="E59" i="60" s="1"/>
  <c r="C59" i="60" a="1"/>
  <c r="C59" i="60" s="1"/>
  <c r="F59" i="60" a="1"/>
  <c r="F59" i="60" s="1"/>
  <c r="D59" i="60" a="1"/>
  <c r="D59" i="60" s="1"/>
  <c r="G18" i="60" a="1"/>
  <c r="G18" i="60" s="1"/>
  <c r="H18" i="60" a="1"/>
  <c r="H18" i="60" s="1"/>
  <c r="F18" i="60" a="1"/>
  <c r="F18" i="60" s="1"/>
  <c r="C18" i="60" a="1"/>
  <c r="C18" i="60" s="1"/>
  <c r="E18" i="60" a="1"/>
  <c r="E18" i="60" s="1"/>
  <c r="D18" i="60" a="1"/>
  <c r="D18" i="60" s="1"/>
  <c r="E20" i="55" a="1"/>
  <c r="E20" i="55" s="1"/>
  <c r="H21" i="55" a="1"/>
  <c r="H21" i="55" s="1"/>
  <c r="C21" i="55" a="1"/>
  <c r="C21" i="55" s="1"/>
  <c r="C23" i="53"/>
  <c r="G28" i="54"/>
  <c r="B106" i="60"/>
  <c r="H76" i="56"/>
  <c r="H116" i="56"/>
  <c r="C76" i="56"/>
  <c r="F33" i="56"/>
  <c r="F114" i="56"/>
  <c r="I112" i="56"/>
  <c r="E114" i="56"/>
  <c r="E33" i="56"/>
  <c r="G73" i="56"/>
  <c r="I72" i="56"/>
  <c r="H37" i="56"/>
  <c r="G113" i="56"/>
  <c r="G32" i="56"/>
  <c r="C32" i="56"/>
  <c r="I31" i="56"/>
  <c r="C113" i="56"/>
  <c r="A25" i="53"/>
  <c r="F70" i="53"/>
  <c r="G70" i="53"/>
  <c r="H97" i="60" l="1"/>
  <c r="G97" i="60"/>
  <c r="D116" i="56"/>
  <c r="D35" i="56"/>
  <c r="F21" i="55" a="1"/>
  <c r="F21" i="55" s="1"/>
  <c r="A40" i="67"/>
  <c r="I148" i="56"/>
  <c r="C32" i="55" a="1"/>
  <c r="C32" i="55" s="1"/>
  <c r="G60" i="60" a="1"/>
  <c r="G60" i="60" s="1"/>
  <c r="E60" i="60" a="1"/>
  <c r="E60" i="60" s="1"/>
  <c r="C60" i="60" a="1"/>
  <c r="C60" i="60" s="1"/>
  <c r="H60" i="60" a="1"/>
  <c r="H60" i="60" s="1"/>
  <c r="F60" i="60" a="1"/>
  <c r="F60" i="60" s="1"/>
  <c r="D60" i="60" a="1"/>
  <c r="D60" i="60" s="1"/>
  <c r="G19" i="60" a="1"/>
  <c r="G19" i="60" s="1"/>
  <c r="E19" i="60" a="1"/>
  <c r="E19" i="60" s="1"/>
  <c r="H19" i="60" a="1"/>
  <c r="H19" i="60" s="1"/>
  <c r="C19" i="60" a="1"/>
  <c r="C19" i="60" s="1"/>
  <c r="F19" i="60" a="1"/>
  <c r="F19" i="60" s="1"/>
  <c r="D19" i="60" a="1"/>
  <c r="D19" i="60" s="1"/>
  <c r="C99" i="60"/>
  <c r="E99" i="60" s="1"/>
  <c r="D99" i="60"/>
  <c r="F99" i="60" s="1"/>
  <c r="G98" i="60"/>
  <c r="H98" i="60"/>
  <c r="B27" i="56"/>
  <c r="B26" i="54"/>
  <c r="B20" i="60"/>
  <c r="B61" i="60"/>
  <c r="B109" i="56"/>
  <c r="B192" i="56"/>
  <c r="C30" i="65"/>
  <c r="B31" i="65"/>
  <c r="B68" i="56"/>
  <c r="B150" i="56"/>
  <c r="D149" i="56"/>
  <c r="D33" i="55" s="1" a="1"/>
  <c r="D33" i="55" s="1"/>
  <c r="D191" i="56" s="1"/>
  <c r="H149" i="56"/>
  <c r="H33" i="55" s="1" a="1"/>
  <c r="H33" i="55" s="1"/>
  <c r="H191" i="56" s="1"/>
  <c r="F149" i="56"/>
  <c r="F33" i="55" s="1" a="1"/>
  <c r="F33" i="55" s="1"/>
  <c r="F191" i="56" s="1"/>
  <c r="E149" i="56"/>
  <c r="E33" i="55" s="1" a="1"/>
  <c r="E33" i="55" s="1"/>
  <c r="E191" i="56" s="1"/>
  <c r="G149" i="56"/>
  <c r="G33" i="55" s="1" a="1"/>
  <c r="G33" i="55" s="1"/>
  <c r="G191" i="56" s="1"/>
  <c r="C149" i="56"/>
  <c r="C33" i="55" a="1"/>
  <c r="C33" i="55" s="1"/>
  <c r="G21" i="55" a="1"/>
  <c r="G21" i="55" s="1"/>
  <c r="C24" i="53"/>
  <c r="G29" i="54"/>
  <c r="G52" i="53"/>
  <c r="B107" i="60"/>
  <c r="C33" i="56"/>
  <c r="C114" i="56"/>
  <c r="I32" i="56"/>
  <c r="H77" i="56"/>
  <c r="H117" i="56"/>
  <c r="I113" i="56"/>
  <c r="F115" i="56"/>
  <c r="F34" i="56"/>
  <c r="H38" i="56"/>
  <c r="G114" i="56"/>
  <c r="G33" i="56"/>
  <c r="G74" i="56"/>
  <c r="I73" i="56"/>
  <c r="E34" i="56"/>
  <c r="E115" i="56"/>
  <c r="C77" i="56"/>
  <c r="A26" i="53"/>
  <c r="F71" i="53"/>
  <c r="G71" i="53"/>
  <c r="D117" i="56" l="1"/>
  <c r="D36" i="56"/>
  <c r="A41" i="67"/>
  <c r="G20" i="60" a="1"/>
  <c r="G20" i="60" s="1"/>
  <c r="H20" i="60" a="1"/>
  <c r="H20" i="60" s="1"/>
  <c r="D20" i="60" a="1"/>
  <c r="D20" i="60" s="1"/>
  <c r="E20" i="60" a="1"/>
  <c r="E20" i="60" s="1"/>
  <c r="F20" i="60" a="1"/>
  <c r="F20" i="60" s="1"/>
  <c r="C20" i="60" a="1"/>
  <c r="C20" i="60" s="1"/>
  <c r="C31" i="65"/>
  <c r="B69" i="56"/>
  <c r="B21" i="60"/>
  <c r="B32" i="65"/>
  <c r="B62" i="60"/>
  <c r="B27" i="54"/>
  <c r="B110" i="56"/>
  <c r="B151" i="56"/>
  <c r="B193" i="56"/>
  <c r="B28" i="56"/>
  <c r="I149" i="56"/>
  <c r="H99" i="60"/>
  <c r="G99" i="60"/>
  <c r="C191" i="56"/>
  <c r="I191" i="56" s="1"/>
  <c r="I33" i="55"/>
  <c r="C100" i="60"/>
  <c r="E100" i="60" s="1"/>
  <c r="D100" i="60"/>
  <c r="F100" i="60" s="1"/>
  <c r="D150" i="56"/>
  <c r="H150" i="56"/>
  <c r="E150" i="56"/>
  <c r="F150" i="56"/>
  <c r="G150" i="56"/>
  <c r="C150" i="56"/>
  <c r="G61" i="60" a="1"/>
  <c r="G61" i="60" s="1"/>
  <c r="C61" i="60" a="1"/>
  <c r="C61" i="60" s="1"/>
  <c r="H61" i="60" a="1"/>
  <c r="H61" i="60" s="1"/>
  <c r="D61" i="60" a="1"/>
  <c r="D61" i="60" s="1"/>
  <c r="F61" i="60" a="1"/>
  <c r="F61" i="60" s="1"/>
  <c r="E61" i="60" a="1"/>
  <c r="E61" i="60" s="1"/>
  <c r="C190" i="56"/>
  <c r="I190" i="56" s="1"/>
  <c r="I32" i="55"/>
  <c r="C25" i="53"/>
  <c r="G30" i="54"/>
  <c r="B108" i="60"/>
  <c r="G75" i="56"/>
  <c r="I74" i="56"/>
  <c r="H78" i="56"/>
  <c r="H118" i="56"/>
  <c r="H39" i="56"/>
  <c r="F35" i="56"/>
  <c r="F116" i="56"/>
  <c r="C78" i="56"/>
  <c r="E35" i="56"/>
  <c r="E116" i="56"/>
  <c r="I114" i="56"/>
  <c r="G34" i="56"/>
  <c r="G115" i="56"/>
  <c r="I33" i="56"/>
  <c r="C34" i="56"/>
  <c r="C115" i="56"/>
  <c r="A27" i="53"/>
  <c r="F72" i="53"/>
  <c r="G72" i="53"/>
  <c r="D37" i="56" l="1"/>
  <c r="D118" i="56"/>
  <c r="A42" i="67"/>
  <c r="G62" i="60" a="1"/>
  <c r="G62" i="60" s="1"/>
  <c r="F62" i="60" a="1"/>
  <c r="F62" i="60" s="1"/>
  <c r="E62" i="60" a="1"/>
  <c r="E62" i="60" s="1"/>
  <c r="H62" i="60" a="1"/>
  <c r="H62" i="60" s="1"/>
  <c r="D62" i="60" a="1"/>
  <c r="D62" i="60" s="1"/>
  <c r="C62" i="60" a="1"/>
  <c r="C62" i="60" s="1"/>
  <c r="I150" i="56"/>
  <c r="B28" i="54"/>
  <c r="C32" i="65"/>
  <c r="B33" i="65"/>
  <c r="B22" i="60"/>
  <c r="B63" i="60"/>
  <c r="B29" i="56"/>
  <c r="B111" i="56"/>
  <c r="B152" i="56"/>
  <c r="B194" i="56"/>
  <c r="B70" i="56"/>
  <c r="G21" i="60" a="1"/>
  <c r="G21" i="60" s="1"/>
  <c r="F21" i="60" a="1"/>
  <c r="F21" i="60" s="1"/>
  <c r="D21" i="60" a="1"/>
  <c r="D21" i="60" s="1"/>
  <c r="H21" i="60" a="1"/>
  <c r="H21" i="60" s="1"/>
  <c r="C21" i="60" a="1"/>
  <c r="C21" i="60" s="1"/>
  <c r="E21" i="60" a="1"/>
  <c r="E21" i="60" s="1"/>
  <c r="D151" i="56"/>
  <c r="H151" i="56"/>
  <c r="F151" i="56"/>
  <c r="E151" i="56"/>
  <c r="C151" i="56"/>
  <c r="G151" i="56"/>
  <c r="G100" i="60"/>
  <c r="H100" i="60"/>
  <c r="C101" i="60"/>
  <c r="E101" i="60" s="1"/>
  <c r="D101" i="60"/>
  <c r="F101" i="60" s="1"/>
  <c r="C26" i="53"/>
  <c r="G31" i="54"/>
  <c r="B109" i="60"/>
  <c r="I115" i="56"/>
  <c r="G116" i="56"/>
  <c r="G35" i="56"/>
  <c r="E36" i="56"/>
  <c r="E117" i="56"/>
  <c r="H40" i="56"/>
  <c r="I34" i="56"/>
  <c r="C35" i="56"/>
  <c r="C116" i="56"/>
  <c r="C79" i="56"/>
  <c r="H79" i="56"/>
  <c r="H119" i="56"/>
  <c r="F117" i="56"/>
  <c r="F36" i="56"/>
  <c r="G76" i="56"/>
  <c r="I75" i="56"/>
  <c r="A28" i="53"/>
  <c r="G73" i="53"/>
  <c r="F73" i="53"/>
  <c r="D38" i="56" l="1"/>
  <c r="D119" i="56"/>
  <c r="A43" i="67"/>
  <c r="B30" i="56"/>
  <c r="C33" i="65"/>
  <c r="B23" i="60"/>
  <c r="B64" i="60"/>
  <c r="B34" i="65"/>
  <c r="B112" i="56"/>
  <c r="B153" i="56"/>
  <c r="B195" i="56"/>
  <c r="B71" i="56"/>
  <c r="B29" i="54"/>
  <c r="D152" i="56"/>
  <c r="H152" i="56"/>
  <c r="E152" i="56"/>
  <c r="F152" i="56"/>
  <c r="G152" i="56"/>
  <c r="C152" i="56"/>
  <c r="D102" i="60"/>
  <c r="F102" i="60" s="1"/>
  <c r="C102" i="60"/>
  <c r="E102" i="60" s="1"/>
  <c r="I151" i="56"/>
  <c r="G63" i="60" a="1"/>
  <c r="G63" i="60" s="1"/>
  <c r="H63" i="60" a="1"/>
  <c r="H63" i="60" s="1"/>
  <c r="F63" i="60" a="1"/>
  <c r="F63" i="60" s="1"/>
  <c r="E63" i="60" a="1"/>
  <c r="E63" i="60" s="1"/>
  <c r="C63" i="60" a="1"/>
  <c r="C63" i="60" s="1"/>
  <c r="D63" i="60" a="1"/>
  <c r="D63" i="60" s="1"/>
  <c r="G101" i="60"/>
  <c r="H101" i="60"/>
  <c r="G22" i="60" a="1"/>
  <c r="G22" i="60" s="1"/>
  <c r="H22" i="60" a="1"/>
  <c r="H22" i="60" s="1"/>
  <c r="D22" i="60" a="1"/>
  <c r="D22" i="60" s="1"/>
  <c r="E22" i="60" a="1"/>
  <c r="E22" i="60" s="1"/>
  <c r="F22" i="60" a="1"/>
  <c r="F22" i="60" s="1"/>
  <c r="C22" i="60" a="1"/>
  <c r="C22" i="60" s="1"/>
  <c r="C27" i="53"/>
  <c r="G32" i="54"/>
  <c r="B110" i="60"/>
  <c r="I116" i="56"/>
  <c r="E37" i="56"/>
  <c r="E118" i="56"/>
  <c r="H80" i="56"/>
  <c r="H120" i="56"/>
  <c r="C80" i="56"/>
  <c r="G77" i="56"/>
  <c r="I76" i="56"/>
  <c r="C36" i="56"/>
  <c r="C117" i="56"/>
  <c r="I35" i="56"/>
  <c r="G36" i="56"/>
  <c r="G117" i="56"/>
  <c r="F37" i="56"/>
  <c r="F118" i="56"/>
  <c r="H41" i="56"/>
  <c r="A29" i="53"/>
  <c r="F74" i="53"/>
  <c r="G74" i="53"/>
  <c r="D120" i="56" l="1"/>
  <c r="D39" i="56"/>
  <c r="A44" i="67"/>
  <c r="C34" i="65"/>
  <c r="B113" i="56"/>
  <c r="B154" i="56"/>
  <c r="B196" i="56"/>
  <c r="B35" i="65"/>
  <c r="B24" i="60"/>
  <c r="B65" i="60"/>
  <c r="B72" i="56"/>
  <c r="B31" i="56"/>
  <c r="B30" i="54"/>
  <c r="I152" i="56"/>
  <c r="G64" i="60" a="1"/>
  <c r="G64" i="60" s="1"/>
  <c r="E64" i="60" a="1"/>
  <c r="E64" i="60" s="1"/>
  <c r="F64" i="60" a="1"/>
  <c r="F64" i="60" s="1"/>
  <c r="H64" i="60" a="1"/>
  <c r="H64" i="60" s="1"/>
  <c r="D64" i="60" a="1"/>
  <c r="D64" i="60" s="1"/>
  <c r="C64" i="60" a="1"/>
  <c r="C64" i="60" s="1"/>
  <c r="D103" i="60"/>
  <c r="F103" i="60" s="1"/>
  <c r="C103" i="60"/>
  <c r="E103" i="60" s="1"/>
  <c r="G23" i="60" a="1"/>
  <c r="G23" i="60" s="1"/>
  <c r="F23" i="60" a="1"/>
  <c r="F23" i="60" s="1"/>
  <c r="E23" i="60" a="1"/>
  <c r="E23" i="60" s="1"/>
  <c r="H23" i="60" a="1"/>
  <c r="H23" i="60" s="1"/>
  <c r="D23" i="60" a="1"/>
  <c r="D23" i="60" s="1"/>
  <c r="C23" i="60" a="1"/>
  <c r="C23" i="60" s="1"/>
  <c r="H102" i="60"/>
  <c r="G102" i="60"/>
  <c r="D153" i="56"/>
  <c r="H153" i="56"/>
  <c r="E153" i="56"/>
  <c r="F153" i="56"/>
  <c r="C153" i="56"/>
  <c r="G153" i="56"/>
  <c r="C28" i="53"/>
  <c r="G33" i="54"/>
  <c r="B111" i="60"/>
  <c r="G37" i="56"/>
  <c r="G118" i="56"/>
  <c r="C81" i="56"/>
  <c r="H42" i="56"/>
  <c r="I117" i="56"/>
  <c r="I36" i="56"/>
  <c r="C37" i="56"/>
  <c r="C118" i="56"/>
  <c r="H81" i="56"/>
  <c r="H121" i="56"/>
  <c r="F38" i="56"/>
  <c r="F119" i="56"/>
  <c r="G78" i="56"/>
  <c r="I77" i="56"/>
  <c r="E38" i="56"/>
  <c r="E119" i="56"/>
  <c r="A30" i="53"/>
  <c r="F75" i="53"/>
  <c r="G75" i="53"/>
  <c r="D121" i="56" l="1"/>
  <c r="D40" i="56"/>
  <c r="A45" i="67"/>
  <c r="G24" i="60" a="1"/>
  <c r="G24" i="60" s="1"/>
  <c r="F24" i="60" a="1"/>
  <c r="F24" i="60" s="1"/>
  <c r="H24" i="60" a="1"/>
  <c r="H24" i="60" s="1"/>
  <c r="D24" i="60" a="1"/>
  <c r="D24" i="60" s="1"/>
  <c r="E24" i="60" a="1"/>
  <c r="E24" i="60" s="1"/>
  <c r="C24" i="60" a="1"/>
  <c r="C24" i="60" s="1"/>
  <c r="I153" i="56"/>
  <c r="B25" i="60"/>
  <c r="B66" i="60"/>
  <c r="B73" i="56"/>
  <c r="B114" i="56"/>
  <c r="B197" i="56"/>
  <c r="C35" i="65"/>
  <c r="B36" i="65"/>
  <c r="B155" i="56"/>
  <c r="B32" i="56"/>
  <c r="B31" i="54"/>
  <c r="D154" i="56"/>
  <c r="H154" i="56"/>
  <c r="F154" i="56"/>
  <c r="E154" i="56"/>
  <c r="C154" i="56"/>
  <c r="G154" i="56"/>
  <c r="D104" i="60"/>
  <c r="F104" i="60" s="1"/>
  <c r="C104" i="60"/>
  <c r="E104" i="60" s="1"/>
  <c r="H103" i="60"/>
  <c r="G103" i="60"/>
  <c r="G65" i="60" a="1"/>
  <c r="G65" i="60" s="1"/>
  <c r="D65" i="60" a="1"/>
  <c r="D65" i="60" s="1"/>
  <c r="H65" i="60" a="1"/>
  <c r="H65" i="60" s="1"/>
  <c r="E65" i="60" a="1"/>
  <c r="E65" i="60" s="1"/>
  <c r="C65" i="60" a="1"/>
  <c r="C65" i="60" s="1"/>
  <c r="F65" i="60" a="1"/>
  <c r="F65" i="60" s="1"/>
  <c r="G34" i="54"/>
  <c r="C29" i="53"/>
  <c r="B112" i="60"/>
  <c r="C38" i="56"/>
  <c r="I37" i="56"/>
  <c r="C119" i="56"/>
  <c r="H43" i="56"/>
  <c r="E39" i="56"/>
  <c r="E120" i="56"/>
  <c r="F39" i="56"/>
  <c r="F120" i="56"/>
  <c r="C82" i="56"/>
  <c r="G79" i="56"/>
  <c r="I78" i="56"/>
  <c r="H82" i="56"/>
  <c r="H122" i="56"/>
  <c r="I118" i="56"/>
  <c r="G119" i="56"/>
  <c r="G38" i="56"/>
  <c r="A31" i="53"/>
  <c r="G76" i="53"/>
  <c r="F76" i="53"/>
  <c r="D122" i="56" l="1"/>
  <c r="D41" i="56"/>
  <c r="A46" i="67"/>
  <c r="I154" i="56"/>
  <c r="G104" i="60"/>
  <c r="H104" i="60"/>
  <c r="D155" i="56"/>
  <c r="H155" i="56"/>
  <c r="F155" i="56"/>
  <c r="E155" i="56"/>
  <c r="G155" i="56"/>
  <c r="C155" i="56"/>
  <c r="G66" i="60" a="1"/>
  <c r="G66" i="60" s="1"/>
  <c r="C66" i="60" a="1"/>
  <c r="C66" i="60" s="1"/>
  <c r="E66" i="60" a="1"/>
  <c r="E66" i="60" s="1"/>
  <c r="H66" i="60" a="1"/>
  <c r="H66" i="60" s="1"/>
  <c r="F66" i="60" a="1"/>
  <c r="F66" i="60" s="1"/>
  <c r="D66" i="60" a="1"/>
  <c r="D66" i="60" s="1"/>
  <c r="B115" i="56"/>
  <c r="B26" i="60"/>
  <c r="B67" i="60"/>
  <c r="B32" i="54"/>
  <c r="B156" i="56"/>
  <c r="C36" i="65"/>
  <c r="B37" i="65"/>
  <c r="B74" i="56"/>
  <c r="B198" i="56"/>
  <c r="B33" i="56"/>
  <c r="G25" i="60" a="1"/>
  <c r="G25" i="60" s="1"/>
  <c r="C25" i="60" a="1"/>
  <c r="C25" i="60" s="1"/>
  <c r="D25" i="60" a="1"/>
  <c r="D25" i="60" s="1"/>
  <c r="H25" i="60" a="1"/>
  <c r="H25" i="60" s="1"/>
  <c r="E25" i="60" a="1"/>
  <c r="E25" i="60" s="1"/>
  <c r="F25" i="60" a="1"/>
  <c r="F25" i="60" s="1"/>
  <c r="D105" i="60"/>
  <c r="F105" i="60" s="1"/>
  <c r="C105" i="60"/>
  <c r="E105" i="60" s="1"/>
  <c r="L52" i="53"/>
  <c r="G35" i="54"/>
  <c r="C30" i="53"/>
  <c r="B113" i="60"/>
  <c r="C83" i="56"/>
  <c r="E40" i="56"/>
  <c r="E121" i="56"/>
  <c r="H83" i="56"/>
  <c r="H123" i="56"/>
  <c r="H44" i="56"/>
  <c r="I119" i="56"/>
  <c r="G80" i="56"/>
  <c r="I79" i="56"/>
  <c r="F40" i="56"/>
  <c r="F121" i="56"/>
  <c r="G39" i="56"/>
  <c r="G120" i="56"/>
  <c r="C39" i="56"/>
  <c r="C120" i="56"/>
  <c r="I38" i="56"/>
  <c r="A32" i="53"/>
  <c r="F77" i="53"/>
  <c r="G77" i="53"/>
  <c r="D123" i="56" l="1"/>
  <c r="D42" i="56"/>
  <c r="A47" i="67"/>
  <c r="D106" i="60"/>
  <c r="F106" i="60" s="1"/>
  <c r="C106" i="60"/>
  <c r="E106" i="60" s="1"/>
  <c r="D156" i="56"/>
  <c r="H156" i="56"/>
  <c r="F156" i="56"/>
  <c r="E156" i="56"/>
  <c r="C156" i="56"/>
  <c r="G156" i="56"/>
  <c r="I155" i="56"/>
  <c r="G105" i="60"/>
  <c r="H105" i="60"/>
  <c r="G67" i="60" a="1"/>
  <c r="G67" i="60" s="1"/>
  <c r="E67" i="60" a="1"/>
  <c r="E67" i="60" s="1"/>
  <c r="D67" i="60" a="1"/>
  <c r="D67" i="60" s="1"/>
  <c r="H67" i="60" a="1"/>
  <c r="H67" i="60" s="1"/>
  <c r="C67" i="60" a="1"/>
  <c r="C67" i="60" s="1"/>
  <c r="F67" i="60" a="1"/>
  <c r="F67" i="60" s="1"/>
  <c r="H26" i="60" a="1"/>
  <c r="H26" i="60" s="1"/>
  <c r="G26" i="60" a="1"/>
  <c r="G26" i="60" s="1"/>
  <c r="F26" i="60" a="1"/>
  <c r="F26" i="60" s="1"/>
  <c r="E26" i="60" a="1"/>
  <c r="E26" i="60" s="1"/>
  <c r="C26" i="60" a="1"/>
  <c r="C26" i="60" s="1"/>
  <c r="D26" i="60" a="1"/>
  <c r="D26" i="60" s="1"/>
  <c r="C37" i="65"/>
  <c r="B38" i="65"/>
  <c r="B75" i="56"/>
  <c r="B27" i="60"/>
  <c r="B68" i="60"/>
  <c r="B34" i="56"/>
  <c r="B116" i="56"/>
  <c r="B157" i="56"/>
  <c r="B199" i="56"/>
  <c r="B33" i="54"/>
  <c r="G36" i="54"/>
  <c r="C31" i="53"/>
  <c r="B114" i="60"/>
  <c r="F41" i="56"/>
  <c r="F122" i="56"/>
  <c r="H45" i="56"/>
  <c r="E41" i="56"/>
  <c r="E122" i="56"/>
  <c r="I120" i="56"/>
  <c r="I39" i="56"/>
  <c r="C40" i="56"/>
  <c r="C121" i="56"/>
  <c r="G81" i="56"/>
  <c r="I80" i="56"/>
  <c r="H84" i="56"/>
  <c r="H124" i="56"/>
  <c r="C84" i="56"/>
  <c r="G40" i="56"/>
  <c r="G121" i="56"/>
  <c r="A33" i="53"/>
  <c r="F78" i="53"/>
  <c r="G78" i="53"/>
  <c r="D124" i="56" l="1"/>
  <c r="D43" i="56"/>
  <c r="A48" i="67"/>
  <c r="A49" i="67" s="1"/>
  <c r="A50" i="67" s="1"/>
  <c r="A51" i="67" s="1"/>
  <c r="G68" i="60" a="1"/>
  <c r="G68" i="60" s="1"/>
  <c r="F68" i="60" a="1"/>
  <c r="F68" i="60" s="1"/>
  <c r="E68" i="60" a="1"/>
  <c r="E68" i="60" s="1"/>
  <c r="D68" i="60" a="1"/>
  <c r="D68" i="60" s="1"/>
  <c r="C68" i="60" a="1"/>
  <c r="C68" i="60" s="1"/>
  <c r="H68" i="60" a="1"/>
  <c r="H68" i="60" s="1"/>
  <c r="G27" i="60" a="1"/>
  <c r="G27" i="60" s="1"/>
  <c r="C27" i="60" a="1"/>
  <c r="C27" i="60" s="1"/>
  <c r="E27" i="60" a="1"/>
  <c r="E27" i="60" s="1"/>
  <c r="D27" i="60" a="1"/>
  <c r="D27" i="60" s="1"/>
  <c r="F27" i="60" a="1"/>
  <c r="F27" i="60" s="1"/>
  <c r="H27" i="60" a="1"/>
  <c r="H27" i="60" s="1"/>
  <c r="H106" i="60"/>
  <c r="G106" i="60"/>
  <c r="I156" i="56"/>
  <c r="D157" i="56"/>
  <c r="H157" i="56"/>
  <c r="F157" i="56"/>
  <c r="E157" i="56"/>
  <c r="G157" i="56"/>
  <c r="C157" i="56"/>
  <c r="B34" i="54"/>
  <c r="C38" i="65"/>
  <c r="B39" i="65"/>
  <c r="B28" i="60"/>
  <c r="B69" i="60"/>
  <c r="B35" i="56"/>
  <c r="B76" i="56"/>
  <c r="B117" i="56"/>
  <c r="B158" i="56"/>
  <c r="B200" i="56"/>
  <c r="C107" i="60"/>
  <c r="E107" i="60" s="1"/>
  <c r="D107" i="60"/>
  <c r="F107" i="60" s="1"/>
  <c r="C32" i="53"/>
  <c r="G37" i="54"/>
  <c r="B115" i="60"/>
  <c r="G82" i="56"/>
  <c r="I81" i="56"/>
  <c r="E42" i="56"/>
  <c r="E123" i="56"/>
  <c r="I121" i="56"/>
  <c r="C85" i="56"/>
  <c r="C41" i="56"/>
  <c r="C122" i="56"/>
  <c r="I40" i="56"/>
  <c r="H46" i="56"/>
  <c r="G41" i="56"/>
  <c r="G122" i="56"/>
  <c r="H85" i="56"/>
  <c r="H125" i="56"/>
  <c r="F42" i="56"/>
  <c r="F123" i="56"/>
  <c r="A34" i="53"/>
  <c r="G79" i="53"/>
  <c r="F79" i="53"/>
  <c r="D44" i="56" l="1"/>
  <c r="D125" i="56"/>
  <c r="D158" i="56"/>
  <c r="H158" i="56"/>
  <c r="E158" i="56"/>
  <c r="F158" i="56"/>
  <c r="G158" i="56"/>
  <c r="C158" i="56"/>
  <c r="B36" i="56"/>
  <c r="C39" i="65"/>
  <c r="B29" i="60"/>
  <c r="B70" i="60"/>
  <c r="B40" i="65"/>
  <c r="B118" i="56"/>
  <c r="B159" i="56"/>
  <c r="B201" i="56"/>
  <c r="B77" i="56"/>
  <c r="B35" i="54"/>
  <c r="I157" i="56"/>
  <c r="C108" i="60"/>
  <c r="E108" i="60" s="1"/>
  <c r="D108" i="60"/>
  <c r="F108" i="60" s="1"/>
  <c r="G107" i="60"/>
  <c r="H107" i="60"/>
  <c r="G69" i="60" a="1"/>
  <c r="G69" i="60" s="1"/>
  <c r="E69" i="60" a="1"/>
  <c r="E69" i="60" s="1"/>
  <c r="D69" i="60" a="1"/>
  <c r="D69" i="60" s="1"/>
  <c r="C69" i="60" a="1"/>
  <c r="C69" i="60" s="1"/>
  <c r="H69" i="60" a="1"/>
  <c r="H69" i="60" s="1"/>
  <c r="F69" i="60" a="1"/>
  <c r="F69" i="60" s="1"/>
  <c r="G28" i="60" a="1"/>
  <c r="G28" i="60" s="1"/>
  <c r="D28" i="60" a="1"/>
  <c r="D28" i="60" s="1"/>
  <c r="E28" i="60" a="1"/>
  <c r="E28" i="60" s="1"/>
  <c r="C28" i="60" a="1"/>
  <c r="C28" i="60" s="1"/>
  <c r="H28" i="60" a="1"/>
  <c r="H28" i="60" s="1"/>
  <c r="F28" i="60" a="1"/>
  <c r="F28" i="60" s="1"/>
  <c r="G38" i="54"/>
  <c r="C33" i="53"/>
  <c r="B116" i="60"/>
  <c r="C42" i="56"/>
  <c r="C123" i="56"/>
  <c r="I41" i="56"/>
  <c r="F43" i="56"/>
  <c r="F124" i="56"/>
  <c r="G42" i="56"/>
  <c r="G123" i="56"/>
  <c r="C86" i="56"/>
  <c r="E43" i="56"/>
  <c r="E124" i="56"/>
  <c r="H86" i="56"/>
  <c r="H126" i="56"/>
  <c r="I122" i="56"/>
  <c r="H47" i="56"/>
  <c r="G83" i="56"/>
  <c r="I82" i="56"/>
  <c r="A35" i="53"/>
  <c r="F80" i="53"/>
  <c r="G80" i="53"/>
  <c r="I158" i="56" l="1"/>
  <c r="D45" i="56"/>
  <c r="D126" i="56"/>
  <c r="C40" i="65"/>
  <c r="B119" i="56"/>
  <c r="B160" i="56"/>
  <c r="B202" i="56"/>
  <c r="B36" i="54"/>
  <c r="B41" i="65"/>
  <c r="B30" i="60"/>
  <c r="B71" i="60"/>
  <c r="B78" i="56"/>
  <c r="B37" i="56"/>
  <c r="D109" i="60"/>
  <c r="F109" i="60" s="1"/>
  <c r="C109" i="60"/>
  <c r="E109" i="60" s="1"/>
  <c r="G70" i="60" a="1"/>
  <c r="G70" i="60" s="1"/>
  <c r="H70" i="60" a="1"/>
  <c r="H70" i="60" s="1"/>
  <c r="D70" i="60" a="1"/>
  <c r="D70" i="60" s="1"/>
  <c r="F70" i="60" a="1"/>
  <c r="F70" i="60" s="1"/>
  <c r="C70" i="60" a="1"/>
  <c r="C70" i="60" s="1"/>
  <c r="E70" i="60" a="1"/>
  <c r="E70" i="60" s="1"/>
  <c r="G108" i="60"/>
  <c r="H108" i="60"/>
  <c r="G29" i="60" a="1"/>
  <c r="G29" i="60" s="1"/>
  <c r="C29" i="60" a="1"/>
  <c r="C29" i="60" s="1"/>
  <c r="F29" i="60" a="1"/>
  <c r="F29" i="60" s="1"/>
  <c r="E29" i="60" a="1"/>
  <c r="E29" i="60" s="1"/>
  <c r="H29" i="60" a="1"/>
  <c r="H29" i="60" s="1"/>
  <c r="D29" i="60" a="1"/>
  <c r="D29" i="60" s="1"/>
  <c r="D159" i="56"/>
  <c r="H159" i="56"/>
  <c r="F159" i="56"/>
  <c r="E159" i="56"/>
  <c r="G159" i="56"/>
  <c r="C159" i="56"/>
  <c r="G39" i="54"/>
  <c r="C34" i="53"/>
  <c r="B117" i="60"/>
  <c r="H48" i="56"/>
  <c r="E44" i="56"/>
  <c r="E125" i="56"/>
  <c r="G43" i="56"/>
  <c r="G124" i="56"/>
  <c r="C87" i="56"/>
  <c r="G84" i="56"/>
  <c r="I83" i="56"/>
  <c r="F44" i="56"/>
  <c r="F125" i="56"/>
  <c r="H87" i="56"/>
  <c r="H127" i="56"/>
  <c r="I123" i="56"/>
  <c r="I42" i="56"/>
  <c r="C124" i="56"/>
  <c r="C43" i="56"/>
  <c r="A36" i="53"/>
  <c r="F81" i="53"/>
  <c r="G81" i="53"/>
  <c r="D46" i="56" l="1"/>
  <c r="D127" i="56"/>
  <c r="D160" i="56"/>
  <c r="H160" i="56"/>
  <c r="F160" i="56"/>
  <c r="E160" i="56"/>
  <c r="C160" i="56"/>
  <c r="G160" i="56"/>
  <c r="G71" i="60" a="1"/>
  <c r="G71" i="60" s="1"/>
  <c r="F71" i="60" a="1"/>
  <c r="F71" i="60" s="1"/>
  <c r="C71" i="60" a="1"/>
  <c r="C71" i="60" s="1"/>
  <c r="E71" i="60" a="1"/>
  <c r="E71" i="60" s="1"/>
  <c r="H71" i="60" a="1"/>
  <c r="H71" i="60" s="1"/>
  <c r="D71" i="60" a="1"/>
  <c r="D71" i="60" s="1"/>
  <c r="H109" i="60"/>
  <c r="G109" i="60"/>
  <c r="G30" i="60" a="1"/>
  <c r="G30" i="60" s="1"/>
  <c r="F30" i="60" a="1"/>
  <c r="F30" i="60" s="1"/>
  <c r="E30" i="60" a="1"/>
  <c r="E30" i="60" s="1"/>
  <c r="C30" i="60" a="1"/>
  <c r="C30" i="60" s="1"/>
  <c r="D30" i="60" a="1"/>
  <c r="D30" i="60" s="1"/>
  <c r="H30" i="60" a="1"/>
  <c r="H30" i="60" s="1"/>
  <c r="B31" i="60"/>
  <c r="B72" i="60"/>
  <c r="B79" i="56"/>
  <c r="B161" i="56"/>
  <c r="B38" i="56"/>
  <c r="B120" i="56"/>
  <c r="B203" i="56"/>
  <c r="C41" i="65"/>
  <c r="B42" i="65"/>
  <c r="B37" i="54"/>
  <c r="I159" i="56"/>
  <c r="C110" i="60"/>
  <c r="E110" i="60" s="1"/>
  <c r="D110" i="60"/>
  <c r="F110" i="60" s="1"/>
  <c r="G40" i="54"/>
  <c r="C35" i="53"/>
  <c r="B118" i="60"/>
  <c r="I43" i="56"/>
  <c r="C125" i="56"/>
  <c r="C44" i="56"/>
  <c r="F45" i="56"/>
  <c r="F126" i="56"/>
  <c r="G44" i="56"/>
  <c r="G125" i="56"/>
  <c r="H88" i="56"/>
  <c r="H128" i="56"/>
  <c r="I124" i="56"/>
  <c r="G85" i="56"/>
  <c r="I84" i="56"/>
  <c r="E45" i="56"/>
  <c r="E126" i="56"/>
  <c r="C88" i="56"/>
  <c r="H49" i="56"/>
  <c r="A37" i="53"/>
  <c r="G82" i="53"/>
  <c r="F82" i="53"/>
  <c r="D47" i="56" l="1"/>
  <c r="D128" i="56"/>
  <c r="I160" i="56"/>
  <c r="B162" i="56"/>
  <c r="B204" i="56"/>
  <c r="B32" i="60"/>
  <c r="B73" i="60"/>
  <c r="B80" i="56"/>
  <c r="B38" i="54"/>
  <c r="B121" i="56"/>
  <c r="C42" i="65"/>
  <c r="B43" i="65"/>
  <c r="B39" i="56"/>
  <c r="G72" i="60" a="1"/>
  <c r="G72" i="60" s="1"/>
  <c r="H72" i="60" a="1"/>
  <c r="H72" i="60" s="1"/>
  <c r="E72" i="60" a="1"/>
  <c r="E72" i="60" s="1"/>
  <c r="D72" i="60" a="1"/>
  <c r="D72" i="60" s="1"/>
  <c r="F72" i="60" a="1"/>
  <c r="F72" i="60" s="1"/>
  <c r="C72" i="60" a="1"/>
  <c r="C72" i="60" s="1"/>
  <c r="G31" i="60" a="1"/>
  <c r="G31" i="60" s="1"/>
  <c r="H31" i="60" a="1"/>
  <c r="H31" i="60" s="1"/>
  <c r="E31" i="60" a="1"/>
  <c r="E31" i="60" s="1"/>
  <c r="D31" i="60" a="1"/>
  <c r="D31" i="60" s="1"/>
  <c r="F31" i="60" a="1"/>
  <c r="F31" i="60" s="1"/>
  <c r="C31" i="60" a="1"/>
  <c r="C31" i="60" s="1"/>
  <c r="D111" i="60"/>
  <c r="F111" i="60" s="1"/>
  <c r="C111" i="60"/>
  <c r="E111" i="60" s="1"/>
  <c r="G110" i="60"/>
  <c r="H110" i="60"/>
  <c r="D161" i="56"/>
  <c r="H161" i="56"/>
  <c r="E161" i="56"/>
  <c r="F161" i="56"/>
  <c r="C161" i="56"/>
  <c r="G161" i="56"/>
  <c r="G41" i="54"/>
  <c r="C36" i="53"/>
  <c r="B119" i="60"/>
  <c r="G45" i="56"/>
  <c r="G126" i="56"/>
  <c r="H50" i="56"/>
  <c r="F46" i="56"/>
  <c r="F127" i="56"/>
  <c r="C45" i="56"/>
  <c r="C126" i="56"/>
  <c r="I44" i="56"/>
  <c r="E46" i="56"/>
  <c r="E127" i="56"/>
  <c r="C89" i="56"/>
  <c r="G86" i="56"/>
  <c r="I85" i="56"/>
  <c r="H89" i="56"/>
  <c r="H129" i="56"/>
  <c r="I125" i="56"/>
  <c r="A38" i="53"/>
  <c r="F83" i="53"/>
  <c r="G83" i="53"/>
  <c r="D48" i="56" l="1"/>
  <c r="D129" i="56"/>
  <c r="G73" i="60" a="1"/>
  <c r="G73" i="60" s="1"/>
  <c r="H73" i="60" a="1"/>
  <c r="H73" i="60" s="1"/>
  <c r="C73" i="60" a="1"/>
  <c r="C73" i="60" s="1"/>
  <c r="D73" i="60" a="1"/>
  <c r="D73" i="60" s="1"/>
  <c r="E73" i="60" a="1"/>
  <c r="E73" i="60" s="1"/>
  <c r="F73" i="60" a="1"/>
  <c r="F73" i="60" s="1"/>
  <c r="C43" i="65"/>
  <c r="B74" i="60"/>
  <c r="B81" i="56"/>
  <c r="B44" i="65"/>
  <c r="B33" i="60"/>
  <c r="B39" i="54"/>
  <c r="B163" i="56"/>
  <c r="B205" i="56"/>
  <c r="B40" i="56"/>
  <c r="B122" i="56"/>
  <c r="G32" i="60" a="1"/>
  <c r="G32" i="60" s="1"/>
  <c r="H32" i="60" a="1"/>
  <c r="H32" i="60" s="1"/>
  <c r="E32" i="60" a="1"/>
  <c r="E32" i="60" s="1"/>
  <c r="F32" i="60" a="1"/>
  <c r="F32" i="60" s="1"/>
  <c r="C32" i="60" a="1"/>
  <c r="C32" i="60" s="1"/>
  <c r="D32" i="60" a="1"/>
  <c r="D32" i="60" s="1"/>
  <c r="G111" i="60"/>
  <c r="H111" i="60"/>
  <c r="I161" i="56"/>
  <c r="C112" i="60"/>
  <c r="E112" i="60" s="1"/>
  <c r="D112" i="60"/>
  <c r="F112" i="60" s="1"/>
  <c r="D162" i="56"/>
  <c r="H162" i="56"/>
  <c r="E162" i="56"/>
  <c r="F162" i="56"/>
  <c r="G162" i="56"/>
  <c r="C162" i="56"/>
  <c r="G42" i="54"/>
  <c r="C37" i="53"/>
  <c r="B120" i="60"/>
  <c r="G87" i="56"/>
  <c r="I86" i="56"/>
  <c r="H90" i="56"/>
  <c r="H130" i="56"/>
  <c r="E47" i="56"/>
  <c r="E128" i="56"/>
  <c r="H51" i="56"/>
  <c r="I126" i="56"/>
  <c r="I45" i="56"/>
  <c r="C46" i="56"/>
  <c r="C127" i="56"/>
  <c r="G46" i="56"/>
  <c r="G127" i="56"/>
  <c r="C90" i="56"/>
  <c r="F47" i="56"/>
  <c r="F128" i="56"/>
  <c r="A39" i="53"/>
  <c r="F84" i="53"/>
  <c r="G84" i="53"/>
  <c r="D49" i="56" l="1"/>
  <c r="D130" i="56"/>
  <c r="G74" i="60" a="1"/>
  <c r="G74" i="60" s="1"/>
  <c r="D74" i="60" a="1"/>
  <c r="D74" i="60" s="1"/>
  <c r="H74" i="60" a="1"/>
  <c r="H74" i="60" s="1"/>
  <c r="F74" i="60" a="1"/>
  <c r="F74" i="60" s="1"/>
  <c r="E74" i="60" a="1"/>
  <c r="E74" i="60" s="1"/>
  <c r="C74" i="60" a="1"/>
  <c r="C74" i="60" s="1"/>
  <c r="D163" i="56"/>
  <c r="H163" i="56"/>
  <c r="E163" i="56"/>
  <c r="F163" i="56"/>
  <c r="G163" i="56"/>
  <c r="C163" i="56"/>
  <c r="I162" i="56"/>
  <c r="C113" i="60"/>
  <c r="E113" i="60" s="1"/>
  <c r="D113" i="60"/>
  <c r="F113" i="60" s="1"/>
  <c r="G33" i="60" a="1"/>
  <c r="G33" i="60" s="1"/>
  <c r="F33" i="60" a="1"/>
  <c r="F33" i="60" s="1"/>
  <c r="D33" i="60" a="1"/>
  <c r="D33" i="60" s="1"/>
  <c r="C33" i="60" a="1"/>
  <c r="C33" i="60" s="1"/>
  <c r="H33" i="60" a="1"/>
  <c r="H33" i="60" s="1"/>
  <c r="E33" i="60" a="1"/>
  <c r="E33" i="60" s="1"/>
  <c r="G112" i="60"/>
  <c r="H112" i="60"/>
  <c r="C44" i="65"/>
  <c r="B45" i="65"/>
  <c r="B34" i="60"/>
  <c r="B75" i="60"/>
  <c r="B41" i="56"/>
  <c r="B40" i="54"/>
  <c r="B82" i="56"/>
  <c r="B164" i="56"/>
  <c r="B123" i="56"/>
  <c r="B206" i="56"/>
  <c r="G43" i="54"/>
  <c r="C38" i="53"/>
  <c r="B121" i="60"/>
  <c r="E48" i="56"/>
  <c r="E129" i="56"/>
  <c r="C91" i="56"/>
  <c r="I127" i="56"/>
  <c r="H53" i="56"/>
  <c r="H91" i="56"/>
  <c r="H131" i="56"/>
  <c r="F129" i="56"/>
  <c r="F48" i="56"/>
  <c r="G47" i="56"/>
  <c r="G128" i="56"/>
  <c r="I46" i="56"/>
  <c r="C47" i="56"/>
  <c r="C128" i="56"/>
  <c r="G88" i="56"/>
  <c r="I87" i="56"/>
  <c r="A40" i="53"/>
  <c r="F85" i="53"/>
  <c r="G85" i="53"/>
  <c r="D131" i="56" l="1"/>
  <c r="D50" i="56"/>
  <c r="G75" i="60" a="1"/>
  <c r="G75" i="60" s="1"/>
  <c r="D75" i="60" a="1"/>
  <c r="D75" i="60" s="1"/>
  <c r="E75" i="60" a="1"/>
  <c r="E75" i="60" s="1"/>
  <c r="C75" i="60" a="1"/>
  <c r="C75" i="60" s="1"/>
  <c r="H75" i="60" a="1"/>
  <c r="H75" i="60" s="1"/>
  <c r="F75" i="60" a="1"/>
  <c r="F75" i="60" s="1"/>
  <c r="G34" i="60" a="1"/>
  <c r="G34" i="60" s="1"/>
  <c r="H34" i="60" a="1"/>
  <c r="H34" i="60" s="1"/>
  <c r="F34" i="60" a="1"/>
  <c r="F34" i="60" s="1"/>
  <c r="E34" i="60" a="1"/>
  <c r="E34" i="60" s="1"/>
  <c r="C34" i="60" a="1"/>
  <c r="C34" i="60" s="1"/>
  <c r="D34" i="60" a="1"/>
  <c r="D34" i="60" s="1"/>
  <c r="C114" i="60"/>
  <c r="E114" i="60" s="1"/>
  <c r="D114" i="60"/>
  <c r="F114" i="60" s="1"/>
  <c r="D164" i="56"/>
  <c r="H164" i="56"/>
  <c r="F164" i="56"/>
  <c r="E164" i="56"/>
  <c r="C164" i="56"/>
  <c r="G164" i="56"/>
  <c r="B42" i="56"/>
  <c r="C45" i="65"/>
  <c r="B35" i="60"/>
  <c r="B76" i="60"/>
  <c r="B46" i="65"/>
  <c r="B124" i="56"/>
  <c r="B165" i="56"/>
  <c r="B207" i="56"/>
  <c r="B83" i="56"/>
  <c r="B41" i="54"/>
  <c r="G113" i="60"/>
  <c r="H113" i="60"/>
  <c r="I163" i="56"/>
  <c r="G44" i="54"/>
  <c r="C39" i="53"/>
  <c r="B122" i="60"/>
  <c r="C48" i="56"/>
  <c r="C129" i="56"/>
  <c r="I47" i="56"/>
  <c r="G89" i="56"/>
  <c r="I88" i="56"/>
  <c r="G48" i="56"/>
  <c r="G129" i="56"/>
  <c r="H92" i="56"/>
  <c r="H132" i="56"/>
  <c r="C92" i="56"/>
  <c r="F130" i="56"/>
  <c r="F49" i="56"/>
  <c r="I128" i="56"/>
  <c r="E130" i="56"/>
  <c r="E49" i="56"/>
  <c r="A41" i="53"/>
  <c r="F86" i="53"/>
  <c r="G86" i="53"/>
  <c r="D51" i="56" l="1"/>
  <c r="D133" i="56" s="1"/>
  <c r="D132" i="56"/>
  <c r="D53" i="56"/>
  <c r="G35" i="60" a="1"/>
  <c r="G35" i="60" s="1"/>
  <c r="E35" i="60" a="1"/>
  <c r="E35" i="60" s="1"/>
  <c r="D35" i="60" a="1"/>
  <c r="D35" i="60" s="1"/>
  <c r="C35" i="60" a="1"/>
  <c r="C35" i="60" s="1"/>
  <c r="H35" i="60" a="1"/>
  <c r="H35" i="60" s="1"/>
  <c r="F35" i="60" a="1"/>
  <c r="F35" i="60" s="1"/>
  <c r="D165" i="56"/>
  <c r="H165" i="56"/>
  <c r="E165" i="56"/>
  <c r="F165" i="56"/>
  <c r="G165" i="56"/>
  <c r="C165" i="56"/>
  <c r="I164" i="56"/>
  <c r="G114" i="60"/>
  <c r="H114" i="60"/>
  <c r="D115" i="60"/>
  <c r="F115" i="60" s="1"/>
  <c r="C115" i="60"/>
  <c r="E115" i="60" s="1"/>
  <c r="C46" i="65"/>
  <c r="B125" i="56"/>
  <c r="B166" i="56"/>
  <c r="B208" i="56"/>
  <c r="B42" i="54"/>
  <c r="B47" i="65"/>
  <c r="B36" i="60"/>
  <c r="B77" i="60"/>
  <c r="B84" i="56"/>
  <c r="B43" i="56"/>
  <c r="G76" i="60" a="1"/>
  <c r="G76" i="60" s="1"/>
  <c r="F76" i="60" a="1"/>
  <c r="F76" i="60" s="1"/>
  <c r="E76" i="60" a="1"/>
  <c r="E76" i="60" s="1"/>
  <c r="H76" i="60" a="1"/>
  <c r="H76" i="60" s="1"/>
  <c r="D76" i="60" a="1"/>
  <c r="D76" i="60" s="1"/>
  <c r="C76" i="60" a="1"/>
  <c r="C76" i="60" s="1"/>
  <c r="C40" i="53"/>
  <c r="G45" i="54"/>
  <c r="B123" i="60"/>
  <c r="F50" i="56"/>
  <c r="F131" i="56"/>
  <c r="G49" i="56"/>
  <c r="G130" i="56"/>
  <c r="I129" i="56"/>
  <c r="E50" i="56"/>
  <c r="E131" i="56"/>
  <c r="C94" i="56"/>
  <c r="I48" i="56"/>
  <c r="C49" i="56"/>
  <c r="C130" i="56"/>
  <c r="H94" i="56"/>
  <c r="H133" i="56"/>
  <c r="G90" i="56"/>
  <c r="I89" i="56"/>
  <c r="A42" i="53"/>
  <c r="F87" i="53"/>
  <c r="G87" i="53"/>
  <c r="D135" i="56" l="1"/>
  <c r="D24" i="55"/>
  <c r="D166" i="56"/>
  <c r="H166" i="56"/>
  <c r="F166" i="56"/>
  <c r="E166" i="56"/>
  <c r="C166" i="56"/>
  <c r="G166" i="56"/>
  <c r="G77" i="60" a="1"/>
  <c r="G77" i="60" s="1"/>
  <c r="E77" i="60" a="1"/>
  <c r="E77" i="60" s="1"/>
  <c r="H77" i="60" a="1"/>
  <c r="H77" i="60" s="1"/>
  <c r="F77" i="60" a="1"/>
  <c r="F77" i="60" s="1"/>
  <c r="D77" i="60" a="1"/>
  <c r="D77" i="60" s="1"/>
  <c r="C77" i="60" a="1"/>
  <c r="C77" i="60" s="1"/>
  <c r="G36" i="60" a="1"/>
  <c r="G36" i="60" s="1"/>
  <c r="H36" i="60" a="1"/>
  <c r="H36" i="60" s="1"/>
  <c r="D36" i="60" a="1"/>
  <c r="D36" i="60" s="1"/>
  <c r="E36" i="60" a="1"/>
  <c r="E36" i="60" s="1"/>
  <c r="C36" i="60" a="1"/>
  <c r="C36" i="60" s="1"/>
  <c r="F36" i="60" a="1"/>
  <c r="F36" i="60" s="1"/>
  <c r="B37" i="60"/>
  <c r="B78" i="60"/>
  <c r="B85" i="56"/>
  <c r="B126" i="56"/>
  <c r="B44" i="56"/>
  <c r="C47" i="65"/>
  <c r="B48" i="65"/>
  <c r="B167" i="56"/>
  <c r="B209" i="56"/>
  <c r="B43" i="54"/>
  <c r="H115" i="60"/>
  <c r="G115" i="60"/>
  <c r="I165" i="56"/>
  <c r="C116" i="60"/>
  <c r="E116" i="60" s="1"/>
  <c r="D116" i="60"/>
  <c r="F116" i="60" s="1"/>
  <c r="C41" i="53"/>
  <c r="G46" i="54"/>
  <c r="B124" i="60"/>
  <c r="G91" i="56"/>
  <c r="I90" i="56"/>
  <c r="H135" i="56"/>
  <c r="H24" i="55"/>
  <c r="I130" i="56"/>
  <c r="G131" i="56"/>
  <c r="G50" i="56"/>
  <c r="C50" i="56"/>
  <c r="C131" i="56"/>
  <c r="I49" i="56"/>
  <c r="E51" i="56"/>
  <c r="E132" i="56"/>
  <c r="F51" i="56"/>
  <c r="F132" i="56"/>
  <c r="A43" i="53"/>
  <c r="F88" i="53"/>
  <c r="G88" i="53"/>
  <c r="I166" i="56" l="1"/>
  <c r="D167" i="56"/>
  <c r="H167" i="56"/>
  <c r="F167" i="56"/>
  <c r="E167" i="56"/>
  <c r="C167" i="56"/>
  <c r="G167" i="56"/>
  <c r="G78" i="60" a="1"/>
  <c r="G78" i="60" s="1"/>
  <c r="C78" i="60" a="1"/>
  <c r="C78" i="60" s="1"/>
  <c r="D78" i="60" a="1"/>
  <c r="D78" i="60" s="1"/>
  <c r="F78" i="60" a="1"/>
  <c r="F78" i="60" s="1"/>
  <c r="E78" i="60" a="1"/>
  <c r="E78" i="60" s="1"/>
  <c r="H78" i="60" a="1"/>
  <c r="H78" i="60" s="1"/>
  <c r="G116" i="60"/>
  <c r="H116" i="60"/>
  <c r="B38" i="60"/>
  <c r="B79" i="60"/>
  <c r="B44" i="54"/>
  <c r="B168" i="56"/>
  <c r="C48" i="65"/>
  <c r="B49" i="65"/>
  <c r="B86" i="56"/>
  <c r="B127" i="56"/>
  <c r="B45" i="56"/>
  <c r="B210" i="56"/>
  <c r="G37" i="60" a="1"/>
  <c r="G37" i="60" s="1"/>
  <c r="C37" i="60" a="1"/>
  <c r="C37" i="60" s="1"/>
  <c r="D37" i="60" a="1"/>
  <c r="D37" i="60" s="1"/>
  <c r="F37" i="60" a="1"/>
  <c r="F37" i="60" s="1"/>
  <c r="E37" i="60" a="1"/>
  <c r="E37" i="60" s="1"/>
  <c r="H37" i="60" a="1"/>
  <c r="H37" i="60" s="1"/>
  <c r="D117" i="60"/>
  <c r="F117" i="60" s="1"/>
  <c r="C117" i="60"/>
  <c r="E117" i="60" s="1"/>
  <c r="C42" i="53"/>
  <c r="G47" i="54"/>
  <c r="B125" i="60"/>
  <c r="B126" i="60" s="1"/>
  <c r="C51" i="56"/>
  <c r="I50" i="56"/>
  <c r="C132" i="56"/>
  <c r="F133" i="56"/>
  <c r="F53" i="56"/>
  <c r="G51" i="56"/>
  <c r="G132" i="56"/>
  <c r="E133" i="56"/>
  <c r="E53" i="56"/>
  <c r="I131" i="56"/>
  <c r="G92" i="56"/>
  <c r="I91" i="56"/>
  <c r="A44" i="53"/>
  <c r="F89" i="53"/>
  <c r="G89" i="53"/>
  <c r="C49" i="65" l="1"/>
  <c r="B50" i="65"/>
  <c r="B39" i="60"/>
  <c r="B80" i="60"/>
  <c r="B87" i="56"/>
  <c r="B211" i="56"/>
  <c r="B45" i="54"/>
  <c r="B46" i="56"/>
  <c r="B128" i="56"/>
  <c r="B169" i="56"/>
  <c r="D118" i="60"/>
  <c r="F118" i="60" s="1"/>
  <c r="C118" i="60"/>
  <c r="E118" i="60" s="1"/>
  <c r="D168" i="56"/>
  <c r="H168" i="56"/>
  <c r="F168" i="56"/>
  <c r="E168" i="56"/>
  <c r="G168" i="56"/>
  <c r="C168" i="56"/>
  <c r="H117" i="60"/>
  <c r="G117" i="60"/>
  <c r="G79" i="60" a="1"/>
  <c r="G79" i="60" s="1"/>
  <c r="H79" i="60" a="1"/>
  <c r="H79" i="60" s="1"/>
  <c r="C79" i="60" a="1"/>
  <c r="C79" i="60" s="1"/>
  <c r="D79" i="60" a="1"/>
  <c r="D79" i="60" s="1"/>
  <c r="E79" i="60" a="1"/>
  <c r="E79" i="60" s="1"/>
  <c r="F79" i="60" a="1"/>
  <c r="F79" i="60" s="1"/>
  <c r="I167" i="56"/>
  <c r="G38" i="60" a="1"/>
  <c r="G38" i="60" s="1"/>
  <c r="H38" i="60" a="1"/>
  <c r="H38" i="60" s="1"/>
  <c r="D38" i="60" a="1"/>
  <c r="D38" i="60" s="1"/>
  <c r="F38" i="60" a="1"/>
  <c r="F38" i="60" s="1"/>
  <c r="C38" i="60" a="1"/>
  <c r="C38" i="60" s="1"/>
  <c r="E38" i="60" a="1"/>
  <c r="E38" i="60" s="1"/>
  <c r="C43" i="53"/>
  <c r="G48" i="54"/>
  <c r="E135" i="56"/>
  <c r="E24" i="55"/>
  <c r="I51" i="56"/>
  <c r="I53" i="56" s="1"/>
  <c r="C133" i="56"/>
  <c r="C53" i="56"/>
  <c r="G94" i="56"/>
  <c r="I92" i="56"/>
  <c r="I94" i="56" s="1"/>
  <c r="G133" i="56"/>
  <c r="G53" i="56"/>
  <c r="F135" i="56"/>
  <c r="F24" i="55"/>
  <c r="I132" i="56"/>
  <c r="A45" i="53"/>
  <c r="F90" i="53"/>
  <c r="G90" i="53"/>
  <c r="G118" i="60" l="1"/>
  <c r="H118" i="60"/>
  <c r="D169" i="56"/>
  <c r="H169" i="56"/>
  <c r="F169" i="56"/>
  <c r="E169" i="56"/>
  <c r="C169" i="56"/>
  <c r="G169" i="56"/>
  <c r="G80" i="60" a="1"/>
  <c r="G80" i="60" s="1"/>
  <c r="F80" i="60" a="1"/>
  <c r="F80" i="60" s="1"/>
  <c r="C80" i="60" a="1"/>
  <c r="C80" i="60" s="1"/>
  <c r="E80" i="60" a="1"/>
  <c r="E80" i="60" s="1"/>
  <c r="H80" i="60" a="1"/>
  <c r="H80" i="60" s="1"/>
  <c r="D80" i="60" a="1"/>
  <c r="D80" i="60" s="1"/>
  <c r="G39" i="60" a="1"/>
  <c r="G39" i="60" s="1"/>
  <c r="D39" i="60" a="1"/>
  <c r="D39" i="60" s="1"/>
  <c r="F39" i="60" a="1"/>
  <c r="F39" i="60" s="1"/>
  <c r="E39" i="60" a="1"/>
  <c r="E39" i="60" s="1"/>
  <c r="C39" i="60" a="1"/>
  <c r="C39" i="60" s="1"/>
  <c r="H39" i="60" a="1"/>
  <c r="H39" i="60" s="1"/>
  <c r="D119" i="60"/>
  <c r="F119" i="60" s="1"/>
  <c r="C119" i="60"/>
  <c r="E119" i="60" s="1"/>
  <c r="C50" i="65"/>
  <c r="B51" i="65"/>
  <c r="B40" i="60"/>
  <c r="B81" i="60"/>
  <c r="B47" i="56"/>
  <c r="B46" i="54"/>
  <c r="B129" i="56"/>
  <c r="B170" i="56"/>
  <c r="B212" i="56"/>
  <c r="B88" i="56"/>
  <c r="I168" i="56"/>
  <c r="G49" i="54"/>
  <c r="C44" i="53"/>
  <c r="I133" i="56"/>
  <c r="C24" i="55"/>
  <c r="C135" i="56"/>
  <c r="G24" i="55"/>
  <c r="G135" i="56"/>
  <c r="A46" i="53"/>
  <c r="F91" i="53"/>
  <c r="G91" i="53"/>
  <c r="D120" i="60" l="1"/>
  <c r="F120" i="60" s="1"/>
  <c r="C120" i="60"/>
  <c r="E120" i="60" s="1"/>
  <c r="B48" i="56"/>
  <c r="C51" i="65"/>
  <c r="B41" i="60"/>
  <c r="B82" i="60"/>
  <c r="B52" i="65"/>
  <c r="B130" i="56"/>
  <c r="B171" i="56"/>
  <c r="B213" i="56"/>
  <c r="B89" i="56"/>
  <c r="B47" i="54"/>
  <c r="G40" i="60" a="1"/>
  <c r="G40" i="60" s="1"/>
  <c r="C40" i="60" a="1"/>
  <c r="C40" i="60" s="1"/>
  <c r="F40" i="60" a="1"/>
  <c r="F40" i="60" s="1"/>
  <c r="H40" i="60" a="1"/>
  <c r="H40" i="60" s="1"/>
  <c r="D40" i="60" a="1"/>
  <c r="D40" i="60" s="1"/>
  <c r="E40" i="60" a="1"/>
  <c r="E40" i="60" s="1"/>
  <c r="D170" i="56"/>
  <c r="H170" i="56"/>
  <c r="E170" i="56"/>
  <c r="F170" i="56"/>
  <c r="G170" i="56"/>
  <c r="C170" i="56"/>
  <c r="I169" i="56"/>
  <c r="G81" i="60" a="1"/>
  <c r="G81" i="60" s="1"/>
  <c r="C81" i="60" a="1"/>
  <c r="C81" i="60" s="1"/>
  <c r="F81" i="60" a="1"/>
  <c r="F81" i="60" s="1"/>
  <c r="E81" i="60" a="1"/>
  <c r="E81" i="60" s="1"/>
  <c r="H81" i="60" a="1"/>
  <c r="H81" i="60" s="1"/>
  <c r="D81" i="60" a="1"/>
  <c r="D81" i="60" s="1"/>
  <c r="H119" i="60"/>
  <c r="G119" i="60"/>
  <c r="C45" i="53"/>
  <c r="G50" i="54"/>
  <c r="I135" i="56"/>
  <c r="I24" i="55"/>
  <c r="A47" i="53"/>
  <c r="F92" i="53"/>
  <c r="G92" i="53"/>
  <c r="G41" i="60" l="1" a="1"/>
  <c r="G41" i="60" s="1"/>
  <c r="E41" i="60" a="1"/>
  <c r="E41" i="60" s="1"/>
  <c r="F41" i="60" a="1"/>
  <c r="F41" i="60" s="1"/>
  <c r="H41" i="60" a="1"/>
  <c r="H41" i="60" s="1"/>
  <c r="C41" i="60" a="1"/>
  <c r="C41" i="60" s="1"/>
  <c r="D41" i="60" a="1"/>
  <c r="D41" i="60" s="1"/>
  <c r="D171" i="56"/>
  <c r="H171" i="56"/>
  <c r="E171" i="56"/>
  <c r="F171" i="56"/>
  <c r="G171" i="56"/>
  <c r="C171" i="56"/>
  <c r="C121" i="60"/>
  <c r="E121" i="60" s="1"/>
  <c r="D121" i="60"/>
  <c r="F121" i="60" s="1"/>
  <c r="C52" i="65"/>
  <c r="B131" i="56"/>
  <c r="B172" i="56"/>
  <c r="B214" i="56"/>
  <c r="B48" i="54"/>
  <c r="B53" i="65"/>
  <c r="B49" i="56"/>
  <c r="B42" i="60"/>
  <c r="B83" i="60"/>
  <c r="B90" i="56"/>
  <c r="G120" i="60"/>
  <c r="H120" i="60"/>
  <c r="I170" i="56"/>
  <c r="G82" i="60" a="1"/>
  <c r="G82" i="60" s="1"/>
  <c r="F82" i="60" a="1"/>
  <c r="F82" i="60" s="1"/>
  <c r="E82" i="60" a="1"/>
  <c r="E82" i="60" s="1"/>
  <c r="C82" i="60" a="1"/>
  <c r="C82" i="60" s="1"/>
  <c r="H82" i="60" a="1"/>
  <c r="H82" i="60" s="1"/>
  <c r="D82" i="60" a="1"/>
  <c r="D82" i="60" s="1"/>
  <c r="G51" i="54"/>
  <c r="C46" i="53"/>
  <c r="A48" i="53"/>
  <c r="A49" i="53" s="1"/>
  <c r="A50" i="53" s="1"/>
  <c r="A51" i="53" s="1"/>
  <c r="F93" i="53"/>
  <c r="G93" i="53"/>
  <c r="B43" i="60" l="1"/>
  <c r="B84" i="60"/>
  <c r="B91" i="56"/>
  <c r="B215" i="56"/>
  <c r="B173" i="56"/>
  <c r="C53" i="65"/>
  <c r="B54" i="65"/>
  <c r="B132" i="56"/>
  <c r="B50" i="56"/>
  <c r="B49" i="54"/>
  <c r="C122" i="60"/>
  <c r="E122" i="60" s="1"/>
  <c r="D122" i="60"/>
  <c r="F122" i="60" s="1"/>
  <c r="I171" i="56"/>
  <c r="G121" i="60"/>
  <c r="H121" i="60"/>
  <c r="G83" i="60" a="1"/>
  <c r="G83" i="60" s="1"/>
  <c r="H83" i="60" a="1"/>
  <c r="H83" i="60" s="1"/>
  <c r="E83" i="60" a="1"/>
  <c r="E83" i="60" s="1"/>
  <c r="C83" i="60" a="1"/>
  <c r="C83" i="60" s="1"/>
  <c r="D83" i="60" a="1"/>
  <c r="D83" i="60" s="1"/>
  <c r="F83" i="60" a="1"/>
  <c r="F83" i="60" s="1"/>
  <c r="D172" i="56"/>
  <c r="H172" i="56"/>
  <c r="F172" i="56"/>
  <c r="E172" i="56"/>
  <c r="G172" i="56"/>
  <c r="C172" i="56"/>
  <c r="G42" i="60" a="1"/>
  <c r="G42" i="60" s="1"/>
  <c r="F42" i="60" a="1"/>
  <c r="F42" i="60" s="1"/>
  <c r="C42" i="60" a="1"/>
  <c r="C42" i="60" s="1"/>
  <c r="H42" i="60" a="1"/>
  <c r="H42" i="60" s="1"/>
  <c r="E42" i="60" a="1"/>
  <c r="E42" i="60" s="1"/>
  <c r="D42" i="60" a="1"/>
  <c r="D42" i="60" s="1"/>
  <c r="C47" i="53"/>
  <c r="C52" i="53" s="1"/>
  <c r="G52" i="54"/>
  <c r="C123" i="60" l="1"/>
  <c r="E123" i="60" s="1"/>
  <c r="D123" i="60"/>
  <c r="F123" i="60" s="1"/>
  <c r="I172" i="56"/>
  <c r="G122" i="60"/>
  <c r="H122" i="60"/>
  <c r="G84" i="60" a="1"/>
  <c r="G84" i="60" s="1"/>
  <c r="F84" i="60" a="1"/>
  <c r="F84" i="60" s="1"/>
  <c r="H84" i="60" a="1"/>
  <c r="H84" i="60" s="1"/>
  <c r="D84" i="60" a="1"/>
  <c r="D84" i="60" s="1"/>
  <c r="E84" i="60" a="1"/>
  <c r="E84" i="60" s="1"/>
  <c r="C84" i="60" a="1"/>
  <c r="C84" i="60" s="1"/>
  <c r="B92" i="56"/>
  <c r="B44" i="60"/>
  <c r="B50" i="54"/>
  <c r="B133" i="56"/>
  <c r="C54" i="65"/>
  <c r="B55" i="65"/>
  <c r="B85" i="60"/>
  <c r="B174" i="56"/>
  <c r="B51" i="56"/>
  <c r="B216" i="56"/>
  <c r="G43" i="60" a="1"/>
  <c r="G43" i="60" s="1"/>
  <c r="E43" i="60" a="1"/>
  <c r="E43" i="60" s="1"/>
  <c r="D43" i="60" a="1"/>
  <c r="D43" i="60" s="1"/>
  <c r="H43" i="60" a="1"/>
  <c r="H43" i="60" s="1"/>
  <c r="C43" i="60" a="1"/>
  <c r="C43" i="60" s="1"/>
  <c r="F43" i="60" a="1"/>
  <c r="F43" i="60" s="1"/>
  <c r="D173" i="56"/>
  <c r="H173" i="56"/>
  <c r="E173" i="56"/>
  <c r="F173" i="56"/>
  <c r="G173" i="56"/>
  <c r="C173" i="56"/>
  <c r="C16" i="54"/>
  <c r="C21" i="54"/>
  <c r="I173" i="56" l="1"/>
  <c r="D174" i="56"/>
  <c r="H174" i="56"/>
  <c r="F174" i="56"/>
  <c r="E174" i="56"/>
  <c r="G174" i="56"/>
  <c r="C174" i="56"/>
  <c r="G44" i="60" a="1"/>
  <c r="G44" i="60" s="1"/>
  <c r="H44" i="60" a="1"/>
  <c r="H44" i="60" s="1"/>
  <c r="C44" i="60" a="1"/>
  <c r="C44" i="60" s="1"/>
  <c r="E44" i="60" a="1"/>
  <c r="E44" i="60" s="1"/>
  <c r="D44" i="60" a="1"/>
  <c r="D44" i="60" s="1"/>
  <c r="F44" i="60" a="1"/>
  <c r="F44" i="60" s="1"/>
  <c r="G85" i="60" a="1"/>
  <c r="G85" i="60" s="1"/>
  <c r="D85" i="60" a="1"/>
  <c r="D85" i="60" s="1"/>
  <c r="C85" i="60" a="1"/>
  <c r="C85" i="60" s="1"/>
  <c r="C50" i="54" s="1"/>
  <c r="E85" i="60" a="1"/>
  <c r="E85" i="60" s="1"/>
  <c r="F85" i="60" a="1"/>
  <c r="F85" i="60" s="1"/>
  <c r="H85" i="60" a="1"/>
  <c r="H85" i="60" s="1"/>
  <c r="G123" i="60"/>
  <c r="H123" i="60"/>
  <c r="C55" i="65"/>
  <c r="B45" i="60"/>
  <c r="B93" i="56"/>
  <c r="B86" i="60"/>
  <c r="B51" i="54"/>
  <c r="B52" i="56"/>
  <c r="B134" i="56"/>
  <c r="B175" i="56"/>
  <c r="B217" i="56"/>
  <c r="D124" i="60"/>
  <c r="F124" i="60" s="1"/>
  <c r="C124" i="60"/>
  <c r="E124" i="60" s="1"/>
  <c r="C30" i="54"/>
  <c r="C46" i="54"/>
  <c r="C45" i="54"/>
  <c r="C39" i="54"/>
  <c r="C38" i="54"/>
  <c r="C29" i="54"/>
  <c r="C44" i="54"/>
  <c r="C37" i="54"/>
  <c r="C27" i="54"/>
  <c r="C49" i="54"/>
  <c r="C43" i="54"/>
  <c r="C35" i="54"/>
  <c r="C25" i="54"/>
  <c r="C48" i="54"/>
  <c r="C42" i="54"/>
  <c r="C34" i="54"/>
  <c r="C47" i="54"/>
  <c r="C41" i="54"/>
  <c r="C33" i="54"/>
  <c r="C20" i="54"/>
  <c r="C17" i="54"/>
  <c r="C26" i="54"/>
  <c r="C24" i="54"/>
  <c r="C22" i="54"/>
  <c r="C31" i="54"/>
  <c r="C40" i="54"/>
  <c r="C32" i="54"/>
  <c r="C23" i="54"/>
  <c r="C19" i="54"/>
  <c r="C36" i="54"/>
  <c r="C28" i="54"/>
  <c r="C18" i="54"/>
  <c r="E18" i="53"/>
  <c r="E19" i="53"/>
  <c r="E20" i="53"/>
  <c r="E21" i="53"/>
  <c r="D19" i="53"/>
  <c r="C126" i="60" l="1"/>
  <c r="E126" i="60" s="1"/>
  <c r="D126" i="60"/>
  <c r="F126" i="60" s="1"/>
  <c r="G86" i="60" a="1"/>
  <c r="G86" i="60" s="1"/>
  <c r="G87" i="60" s="1"/>
  <c r="G34" i="57" s="1"/>
  <c r="D86" i="60" a="1"/>
  <c r="D86" i="60" s="1"/>
  <c r="D87" i="60" s="1"/>
  <c r="D34" i="57" s="1"/>
  <c r="C86" i="60" a="1"/>
  <c r="C86" i="60" s="1"/>
  <c r="H86" i="60" a="1"/>
  <c r="H86" i="60" s="1"/>
  <c r="H87" i="60" s="1"/>
  <c r="E86" i="60" a="1"/>
  <c r="E86" i="60" s="1"/>
  <c r="E87" i="60" s="1"/>
  <c r="E34" i="57" s="1"/>
  <c r="F86" i="60" a="1"/>
  <c r="F86" i="60" s="1"/>
  <c r="F87" i="60" s="1"/>
  <c r="F34" i="57" s="1"/>
  <c r="D125" i="60"/>
  <c r="F125" i="60" s="1"/>
  <c r="C125" i="60"/>
  <c r="E125" i="60" s="1"/>
  <c r="H124" i="60"/>
  <c r="G124" i="60"/>
  <c r="E175" i="56"/>
  <c r="E176" i="56" s="1"/>
  <c r="E41" i="55" s="1"/>
  <c r="H175" i="56"/>
  <c r="F175" i="56"/>
  <c r="C175" i="56"/>
  <c r="C35" i="55" s="1" a="1"/>
  <c r="C35" i="55" s="1"/>
  <c r="G175" i="56"/>
  <c r="D175" i="56"/>
  <c r="F34" i="55" a="1"/>
  <c r="F34" i="55" s="1"/>
  <c r="G34" i="55" a="1"/>
  <c r="G34" i="55" s="1"/>
  <c r="H34" i="55" a="1"/>
  <c r="H34" i="55" s="1"/>
  <c r="D34" i="55" a="1"/>
  <c r="D34" i="55" s="1"/>
  <c r="C34" i="55" a="1"/>
  <c r="C34" i="55" s="1"/>
  <c r="E34" i="55" a="1"/>
  <c r="E34" i="55" s="1"/>
  <c r="E35" i="55" a="1"/>
  <c r="E35" i="55" s="1"/>
  <c r="E217" i="56" s="1"/>
  <c r="E192" i="56" s="1"/>
  <c r="E193" i="56" s="1"/>
  <c r="E194" i="56" s="1"/>
  <c r="E195" i="56" s="1"/>
  <c r="E196" i="56" s="1"/>
  <c r="E197" i="56" s="1"/>
  <c r="E198" i="56" s="1"/>
  <c r="E199" i="56" s="1"/>
  <c r="E200" i="56" s="1"/>
  <c r="E201" i="56" s="1"/>
  <c r="E202" i="56" s="1"/>
  <c r="E203" i="56" s="1"/>
  <c r="E204" i="56" s="1"/>
  <c r="E205" i="56" s="1"/>
  <c r="E206" i="56" s="1"/>
  <c r="E207" i="56" s="1"/>
  <c r="E208" i="56" s="1"/>
  <c r="E209" i="56" s="1"/>
  <c r="E210" i="56" s="1"/>
  <c r="E211" i="56" s="1"/>
  <c r="E212" i="56" s="1"/>
  <c r="E213" i="56" s="1"/>
  <c r="E214" i="56" s="1"/>
  <c r="E215" i="56" s="1"/>
  <c r="E216" i="56" s="1"/>
  <c r="G45" i="60" a="1"/>
  <c r="G45" i="60" s="1"/>
  <c r="E45" i="60" a="1"/>
  <c r="E45" i="60" s="1"/>
  <c r="E46" i="60" s="1"/>
  <c r="E33" i="57" s="1"/>
  <c r="C45" i="60" a="1"/>
  <c r="C45" i="60" s="1"/>
  <c r="C46" i="60" s="1"/>
  <c r="C33" i="57" s="1"/>
  <c r="F45" i="60" a="1"/>
  <c r="F45" i="60" s="1"/>
  <c r="F46" i="60" s="1"/>
  <c r="F33" i="57" s="1"/>
  <c r="D45" i="60" a="1"/>
  <c r="D45" i="60" s="1"/>
  <c r="D46" i="60" s="1"/>
  <c r="D33" i="57" s="1"/>
  <c r="H45" i="60" a="1"/>
  <c r="H45" i="60" s="1"/>
  <c r="H46" i="60" s="1"/>
  <c r="I174" i="56"/>
  <c r="C23" i="55" a="1"/>
  <c r="C23" i="55" s="1"/>
  <c r="H22" i="55" a="1"/>
  <c r="H22" i="55" s="1"/>
  <c r="D23" i="55" a="1"/>
  <c r="D23" i="55" s="1"/>
  <c r="H23" i="55" a="1"/>
  <c r="H23" i="55" s="1"/>
  <c r="C20" i="55" a="1"/>
  <c r="C20" i="55" s="1"/>
  <c r="G23" i="55" a="1"/>
  <c r="G23" i="55" s="1"/>
  <c r="D22" i="55" a="1"/>
  <c r="D22" i="55" s="1"/>
  <c r="E23" i="55" a="1"/>
  <c r="E23" i="55" s="1"/>
  <c r="E22" i="55" a="1"/>
  <c r="E22" i="55" s="1"/>
  <c r="D21" i="55" a="1"/>
  <c r="D21" i="55" s="1"/>
  <c r="I21" i="55" s="1"/>
  <c r="G22" i="55" a="1"/>
  <c r="G22" i="55" s="1"/>
  <c r="H20" i="55" a="1"/>
  <c r="H20" i="55" s="1"/>
  <c r="F22" i="55" a="1"/>
  <c r="F22" i="55" s="1"/>
  <c r="D20" i="55" a="1"/>
  <c r="D20" i="55" s="1"/>
  <c r="F23" i="55" a="1"/>
  <c r="F23" i="55" s="1"/>
  <c r="C22" i="55" a="1"/>
  <c r="C22" i="55" s="1"/>
  <c r="D21" i="53"/>
  <c r="D20" i="53"/>
  <c r="M19" i="53"/>
  <c r="D17" i="53"/>
  <c r="E17" i="53"/>
  <c r="D18" i="53"/>
  <c r="H126" i="60" l="1"/>
  <c r="G126" i="60"/>
  <c r="I20" i="55"/>
  <c r="D35" i="57"/>
  <c r="G35" i="55" a="1"/>
  <c r="G35" i="55" s="1"/>
  <c r="G217" i="56" s="1"/>
  <c r="G192" i="56" s="1"/>
  <c r="G193" i="56" s="1"/>
  <c r="G194" i="56" s="1"/>
  <c r="G195" i="56" s="1"/>
  <c r="G196" i="56" s="1"/>
  <c r="G197" i="56" s="1"/>
  <c r="G198" i="56" s="1"/>
  <c r="G199" i="56" s="1"/>
  <c r="G200" i="56" s="1"/>
  <c r="G201" i="56" s="1"/>
  <c r="G202" i="56" s="1"/>
  <c r="G203" i="56" s="1"/>
  <c r="G204" i="56" s="1"/>
  <c r="G205" i="56" s="1"/>
  <c r="G206" i="56" s="1"/>
  <c r="G207" i="56" s="1"/>
  <c r="G208" i="56" s="1"/>
  <c r="G209" i="56" s="1"/>
  <c r="G210" i="56" s="1"/>
  <c r="G211" i="56" s="1"/>
  <c r="G212" i="56" s="1"/>
  <c r="G213" i="56" s="1"/>
  <c r="G214" i="56" s="1"/>
  <c r="G215" i="56" s="1"/>
  <c r="G216" i="56" s="1"/>
  <c r="G176" i="56"/>
  <c r="G41" i="55" s="1"/>
  <c r="G36" i="55"/>
  <c r="I23" i="55"/>
  <c r="I175" i="56"/>
  <c r="I176" i="56" s="1"/>
  <c r="I41" i="55" s="1"/>
  <c r="C36" i="55"/>
  <c r="C176" i="56"/>
  <c r="C41" i="55" s="1"/>
  <c r="H125" i="60"/>
  <c r="G125" i="60"/>
  <c r="C87" i="60"/>
  <c r="C34" i="57" s="1"/>
  <c r="C35" i="57" s="1"/>
  <c r="C51" i="54"/>
  <c r="C52" i="54" s="1"/>
  <c r="I22" i="55"/>
  <c r="G46" i="60"/>
  <c r="G33" i="57" s="1"/>
  <c r="G35" i="57" s="1"/>
  <c r="C127" i="60"/>
  <c r="D127" i="60"/>
  <c r="C217" i="56"/>
  <c r="F35" i="55" a="1"/>
  <c r="F35" i="55" s="1"/>
  <c r="F217" i="56" s="1"/>
  <c r="F36" i="55"/>
  <c r="H35" i="55" a="1"/>
  <c r="H35" i="55" s="1"/>
  <c r="H217" i="56" s="1"/>
  <c r="H192" i="56" s="1"/>
  <c r="H193" i="56" s="1"/>
  <c r="H194" i="56" s="1"/>
  <c r="H195" i="56" s="1"/>
  <c r="H196" i="56" s="1"/>
  <c r="H197" i="56" s="1"/>
  <c r="H198" i="56" s="1"/>
  <c r="H199" i="56" s="1"/>
  <c r="H200" i="56" s="1"/>
  <c r="H201" i="56" s="1"/>
  <c r="H202" i="56" s="1"/>
  <c r="H203" i="56" s="1"/>
  <c r="H204" i="56" s="1"/>
  <c r="H205" i="56" s="1"/>
  <c r="H206" i="56" s="1"/>
  <c r="H207" i="56" s="1"/>
  <c r="H208" i="56" s="1"/>
  <c r="H209" i="56" s="1"/>
  <c r="H210" i="56" s="1"/>
  <c r="H211" i="56" s="1"/>
  <c r="H212" i="56" s="1"/>
  <c r="H213" i="56" s="1"/>
  <c r="H214" i="56" s="1"/>
  <c r="H215" i="56" s="1"/>
  <c r="H216" i="56" s="1"/>
  <c r="H176" i="56"/>
  <c r="H41" i="55" s="1"/>
  <c r="H36" i="55"/>
  <c r="F176" i="56"/>
  <c r="F41" i="55" s="1"/>
  <c r="D35" i="55" a="1"/>
  <c r="D35" i="55" s="1"/>
  <c r="D217" i="56" s="1"/>
  <c r="D192" i="56" s="1"/>
  <c r="D193" i="56" s="1"/>
  <c r="D194" i="56" s="1"/>
  <c r="D195" i="56" s="1"/>
  <c r="D196" i="56" s="1"/>
  <c r="D197" i="56" s="1"/>
  <c r="D198" i="56" s="1"/>
  <c r="D199" i="56" s="1"/>
  <c r="D200" i="56" s="1"/>
  <c r="D201" i="56" s="1"/>
  <c r="D202" i="56" s="1"/>
  <c r="D203" i="56" s="1"/>
  <c r="D204" i="56" s="1"/>
  <c r="D205" i="56" s="1"/>
  <c r="D206" i="56" s="1"/>
  <c r="D207" i="56" s="1"/>
  <c r="D208" i="56" s="1"/>
  <c r="D209" i="56" s="1"/>
  <c r="D210" i="56" s="1"/>
  <c r="D211" i="56" s="1"/>
  <c r="D212" i="56" s="1"/>
  <c r="D213" i="56" s="1"/>
  <c r="D214" i="56" s="1"/>
  <c r="D215" i="56" s="1"/>
  <c r="D216" i="56" s="1"/>
  <c r="D176" i="56"/>
  <c r="D41" i="55" s="1"/>
  <c r="D36" i="55"/>
  <c r="E36" i="55"/>
  <c r="F35" i="57"/>
  <c r="M18" i="53"/>
  <c r="N18" i="53" s="1"/>
  <c r="N19" i="53"/>
  <c r="O19" i="53"/>
  <c r="M20" i="53"/>
  <c r="O20" i="53" s="1"/>
  <c r="M21" i="53"/>
  <c r="O21" i="53" s="1"/>
  <c r="E35" i="57"/>
  <c r="M17" i="53"/>
  <c r="I36" i="55" l="1"/>
  <c r="E127" i="60"/>
  <c r="E128" i="60" s="1"/>
  <c r="C128" i="60"/>
  <c r="F127" i="60"/>
  <c r="F128" i="60" s="1"/>
  <c r="D128" i="60"/>
  <c r="F192" i="56"/>
  <c r="F193" i="56" s="1"/>
  <c r="F194" i="56" s="1"/>
  <c r="F195" i="56" s="1"/>
  <c r="F196" i="56" s="1"/>
  <c r="F197" i="56" s="1"/>
  <c r="F198" i="56" s="1"/>
  <c r="F199" i="56" s="1"/>
  <c r="F200" i="56" s="1"/>
  <c r="F201" i="56" s="1"/>
  <c r="F202" i="56" s="1"/>
  <c r="F203" i="56" s="1"/>
  <c r="F204" i="56" s="1"/>
  <c r="F205" i="56" s="1"/>
  <c r="F206" i="56" s="1"/>
  <c r="F207" i="56" s="1"/>
  <c r="F208" i="56" s="1"/>
  <c r="F209" i="56" s="1"/>
  <c r="F210" i="56" s="1"/>
  <c r="F211" i="56" s="1"/>
  <c r="F212" i="56" s="1"/>
  <c r="F213" i="56" s="1"/>
  <c r="F214" i="56" s="1"/>
  <c r="F215" i="56" s="1"/>
  <c r="F216" i="56" s="1"/>
  <c r="E47" i="53"/>
  <c r="C192" i="56"/>
  <c r="C193" i="56" s="1"/>
  <c r="I193" i="56" s="1"/>
  <c r="D47" i="53"/>
  <c r="I217" i="56"/>
  <c r="I35" i="55"/>
  <c r="O18" i="53"/>
  <c r="N20" i="53"/>
  <c r="N21" i="53"/>
  <c r="N17" i="53"/>
  <c r="O17" i="53"/>
  <c r="G127" i="60" l="1"/>
  <c r="G128" i="60" s="1"/>
  <c r="H127" i="60"/>
  <c r="C194" i="56"/>
  <c r="I192" i="56"/>
  <c r="H128" i="60" l="1"/>
  <c r="I34" i="57" s="1"/>
  <c r="I35" i="57" s="1"/>
  <c r="M47" i="53"/>
  <c r="F52" i="53"/>
  <c r="I194" i="56"/>
  <c r="C195" i="56"/>
  <c r="H35" i="57" l="1"/>
  <c r="I195" i="56"/>
  <c r="C196" i="56"/>
  <c r="N47" i="53"/>
  <c r="O47" i="53"/>
  <c r="I196" i="56" l="1"/>
  <c r="C197" i="56"/>
  <c r="E22" i="53"/>
  <c r="D22" i="53"/>
  <c r="I197" i="56" l="1"/>
  <c r="C198" i="56"/>
  <c r="M22" i="53"/>
  <c r="E23" i="53"/>
  <c r="I198" i="56" l="1"/>
  <c r="C199" i="56"/>
  <c r="D23" i="53"/>
  <c r="N22" i="53"/>
  <c r="O22" i="53"/>
  <c r="E24" i="53"/>
  <c r="D24" i="53"/>
  <c r="I199" i="56" l="1"/>
  <c r="C200" i="56"/>
  <c r="M24" i="53"/>
  <c r="O24" i="53" s="1"/>
  <c r="M23" i="53"/>
  <c r="E25" i="53"/>
  <c r="D25" i="53"/>
  <c r="N24" i="53" l="1"/>
  <c r="I200" i="56"/>
  <c r="C201" i="56"/>
  <c r="M25" i="53"/>
  <c r="O25" i="53" s="1"/>
  <c r="O23" i="53"/>
  <c r="N23" i="53"/>
  <c r="E26" i="53"/>
  <c r="D26" i="53"/>
  <c r="I201" i="56" l="1"/>
  <c r="C202" i="56"/>
  <c r="N25" i="53"/>
  <c r="M26" i="53"/>
  <c r="N26" i="53" s="1"/>
  <c r="E27" i="53"/>
  <c r="D27" i="53"/>
  <c r="O26" i="53" l="1"/>
  <c r="I202" i="56"/>
  <c r="C203" i="56"/>
  <c r="M27" i="53"/>
  <c r="E28" i="53"/>
  <c r="D28" i="53"/>
  <c r="M28" i="53" l="1"/>
  <c r="N28" i="53" s="1"/>
  <c r="I203" i="56"/>
  <c r="C204" i="56"/>
  <c r="O27" i="53"/>
  <c r="N27" i="53"/>
  <c r="E29" i="53"/>
  <c r="D29" i="53"/>
  <c r="O28" i="53" l="1"/>
  <c r="I204" i="56"/>
  <c r="C205" i="56"/>
  <c r="M29" i="53"/>
  <c r="E30" i="53"/>
  <c r="D30" i="53"/>
  <c r="M30" i="53" l="1"/>
  <c r="N30" i="53" s="1"/>
  <c r="I205" i="56"/>
  <c r="C206" i="56"/>
  <c r="O29" i="53"/>
  <c r="N29" i="53"/>
  <c r="E31" i="53"/>
  <c r="D31" i="53"/>
  <c r="O30" i="53" l="1"/>
  <c r="I206" i="56"/>
  <c r="C207" i="56"/>
  <c r="M31" i="53"/>
  <c r="E32" i="53"/>
  <c r="D32" i="53"/>
  <c r="M32" i="53" l="1"/>
  <c r="O32" i="53" s="1"/>
  <c r="I207" i="56"/>
  <c r="C208" i="56"/>
  <c r="N31" i="53"/>
  <c r="O31" i="53"/>
  <c r="E33" i="53"/>
  <c r="D33" i="53"/>
  <c r="N32" i="53" l="1"/>
  <c r="M33" i="53"/>
  <c r="N33" i="53" s="1"/>
  <c r="I208" i="56"/>
  <c r="C209" i="56"/>
  <c r="E34" i="53"/>
  <c r="D34" i="53"/>
  <c r="O33" i="53" l="1"/>
  <c r="M34" i="53"/>
  <c r="N34" i="53" s="1"/>
  <c r="I209" i="56"/>
  <c r="C210" i="56"/>
  <c r="E35" i="53"/>
  <c r="D35" i="53"/>
  <c r="O34" i="53" l="1"/>
  <c r="M35" i="53"/>
  <c r="O35" i="53" s="1"/>
  <c r="I210" i="56"/>
  <c r="C211" i="56"/>
  <c r="E36" i="53"/>
  <c r="D36" i="53"/>
  <c r="N35" i="53" l="1"/>
  <c r="M36" i="53"/>
  <c r="O36" i="53" s="1"/>
  <c r="I211" i="56"/>
  <c r="C212" i="56"/>
  <c r="E37" i="53"/>
  <c r="D37" i="53"/>
  <c r="N36" i="53" l="1"/>
  <c r="I212" i="56"/>
  <c r="C213" i="56"/>
  <c r="M37" i="53"/>
  <c r="N37" i="53" s="1"/>
  <c r="E38" i="53"/>
  <c r="D38" i="53"/>
  <c r="O37" i="53" l="1"/>
  <c r="I213" i="56"/>
  <c r="C214" i="56"/>
  <c r="M38" i="53"/>
  <c r="N38" i="53" s="1"/>
  <c r="E39" i="53"/>
  <c r="D39" i="53"/>
  <c r="O38" i="53" l="1"/>
  <c r="I214" i="56"/>
  <c r="C215" i="56"/>
  <c r="M39" i="53"/>
  <c r="N39" i="53" s="1"/>
  <c r="E40" i="53"/>
  <c r="D40" i="53"/>
  <c r="O39" i="53" l="1"/>
  <c r="I215" i="56"/>
  <c r="C216" i="56"/>
  <c r="I216" i="56" s="1"/>
  <c r="M40" i="53"/>
  <c r="N40" i="53" s="1"/>
  <c r="E41" i="53"/>
  <c r="D41" i="53"/>
  <c r="O40" i="53" l="1"/>
  <c r="M41" i="53"/>
  <c r="N41" i="53" s="1"/>
  <c r="E42" i="53"/>
  <c r="D42" i="53"/>
  <c r="M42" i="53" l="1"/>
  <c r="N42" i="53" s="1"/>
  <c r="O41" i="53"/>
  <c r="E43" i="53"/>
  <c r="D43" i="53"/>
  <c r="M43" i="53" l="1"/>
  <c r="O43" i="53" s="1"/>
  <c r="O42" i="53"/>
  <c r="E44" i="53"/>
  <c r="D44" i="53"/>
  <c r="N43" i="53" l="1"/>
  <c r="M44" i="53"/>
  <c r="N44" i="53" s="1"/>
  <c r="E45" i="53"/>
  <c r="D45" i="53"/>
  <c r="M45" i="53" l="1"/>
  <c r="O45" i="53" s="1"/>
  <c r="O44" i="53"/>
  <c r="E46" i="53"/>
  <c r="E52" i="53" s="1"/>
  <c r="D46" i="53"/>
  <c r="N45" i="53" l="1"/>
  <c r="M46" i="53"/>
  <c r="D52" i="53"/>
  <c r="O46" i="53" l="1"/>
  <c r="O52" i="53" s="1"/>
  <c r="N46" i="53"/>
  <c r="N52" i="53" s="1"/>
  <c r="M52" i="53"/>
  <c r="E63" i="53" l="1"/>
  <c r="E61" i="53"/>
  <c r="E60" i="53"/>
  <c r="E59" i="53" l="1"/>
  <c r="G60" i="53"/>
  <c r="F60" i="53"/>
  <c r="H26" i="51"/>
  <c r="I26" i="51" s="1"/>
  <c r="G61" i="53"/>
  <c r="H27" i="51"/>
  <c r="F61" i="53"/>
  <c r="F63" i="53"/>
  <c r="H29" i="51"/>
  <c r="G63" i="53"/>
  <c r="E62" i="53" l="1"/>
  <c r="H28" i="51" s="1"/>
  <c r="I29" i="51"/>
  <c r="J29" i="51"/>
  <c r="J26" i="51"/>
  <c r="I27" i="51"/>
  <c r="J27" i="51"/>
  <c r="H25" i="51"/>
  <c r="G59" i="53"/>
  <c r="F59" i="53"/>
  <c r="E98" i="53" l="1"/>
  <c r="F62" i="53"/>
  <c r="F98" i="53" s="1"/>
  <c r="G62" i="53"/>
  <c r="G98" i="53" s="1"/>
  <c r="I25" i="51"/>
  <c r="J25" i="51"/>
  <c r="H60" i="51"/>
  <c r="J28" i="51"/>
  <c r="I28" i="51"/>
  <c r="J60" i="51" l="1"/>
  <c r="I60" i="51"/>
  <c r="F15" i="51" s="1"/>
  <c r="H66" i="52" l="1"/>
  <c r="E27" i="51" l="1"/>
  <c r="E29" i="51" l="1"/>
  <c r="D29" i="51"/>
  <c r="E26" i="51"/>
  <c r="E28" i="51"/>
  <c r="E25" i="51"/>
  <c r="F29" i="51" l="1"/>
  <c r="E24" i="51"/>
  <c r="D36" i="51" l="1"/>
  <c r="F36" i="51" s="1"/>
  <c r="D42" i="51"/>
  <c r="F42" i="51" s="1"/>
  <c r="D48" i="51"/>
  <c r="F48" i="51" s="1"/>
  <c r="D54" i="51"/>
  <c r="F54" i="51" s="1"/>
  <c r="D35" i="51"/>
  <c r="F35" i="51" s="1"/>
  <c r="D53" i="51"/>
  <c r="F53" i="51" s="1"/>
  <c r="D31" i="51"/>
  <c r="F31" i="51" s="1"/>
  <c r="D37" i="51"/>
  <c r="F37" i="51" s="1"/>
  <c r="D43" i="51"/>
  <c r="F43" i="51" s="1"/>
  <c r="D49" i="51"/>
  <c r="F49" i="51" s="1"/>
  <c r="D55" i="51"/>
  <c r="F55" i="51" s="1"/>
  <c r="D52" i="51"/>
  <c r="F52" i="51" s="1"/>
  <c r="D32" i="51"/>
  <c r="F32" i="51" s="1"/>
  <c r="D38" i="51"/>
  <c r="F38" i="51" s="1"/>
  <c r="D44" i="51"/>
  <c r="F44" i="51" s="1"/>
  <c r="D50" i="51"/>
  <c r="F50" i="51" s="1"/>
  <c r="D56" i="51"/>
  <c r="F56" i="51" s="1"/>
  <c r="D47" i="51"/>
  <c r="F47" i="51" s="1"/>
  <c r="D33" i="51"/>
  <c r="F33" i="51" s="1"/>
  <c r="D39" i="51"/>
  <c r="F39" i="51" s="1"/>
  <c r="D45" i="51"/>
  <c r="F45" i="51" s="1"/>
  <c r="D51" i="51"/>
  <c r="F51" i="51" s="1"/>
  <c r="D57" i="51"/>
  <c r="F57" i="51" s="1"/>
  <c r="D34" i="51"/>
  <c r="F34" i="51" s="1"/>
  <c r="D40" i="51"/>
  <c r="F40" i="51" s="1"/>
  <c r="D46" i="51"/>
  <c r="F46" i="51" s="1"/>
  <c r="D58" i="51"/>
  <c r="F58" i="51" s="1"/>
  <c r="D41" i="51"/>
  <c r="F41" i="51" s="1"/>
  <c r="D59" i="51"/>
  <c r="F59" i="51" s="1"/>
  <c r="E35" i="51" l="1"/>
  <c r="E49" i="51"/>
  <c r="D30" i="51"/>
  <c r="E55" i="51"/>
  <c r="E43" i="51"/>
  <c r="E54" i="51"/>
  <c r="E59" i="51"/>
  <c r="E41" i="51"/>
  <c r="E58" i="51"/>
  <c r="E46" i="51"/>
  <c r="E37" i="51"/>
  <c r="E48" i="51"/>
  <c r="E57" i="51"/>
  <c r="E51" i="51"/>
  <c r="E45" i="51"/>
  <c r="E39" i="51"/>
  <c r="E33" i="51"/>
  <c r="E32" i="51"/>
  <c r="E31" i="51"/>
  <c r="E42" i="51"/>
  <c r="E56" i="51"/>
  <c r="E50" i="51"/>
  <c r="E44" i="51"/>
  <c r="E38" i="51"/>
  <c r="E40" i="51"/>
  <c r="E34" i="51"/>
  <c r="E47" i="51"/>
  <c r="E52" i="51"/>
  <c r="E53" i="51"/>
  <c r="E36" i="51"/>
  <c r="F30" i="51" l="1"/>
  <c r="F60" i="51" s="1"/>
  <c r="D60" i="51"/>
  <c r="E30" i="51"/>
  <c r="E60" i="51" s="1"/>
  <c r="F18" i="51" l="1"/>
  <c r="F19" i="51"/>
  <c r="F14" i="51"/>
  <c r="F16" i="51" s="1"/>
  <c r="F17" i="51"/>
  <c r="D39" i="4" l="1"/>
  <c r="D40" i="4"/>
  <c r="D41" i="4"/>
  <c r="D42" i="4"/>
  <c r="D23" i="4"/>
  <c r="D24" i="4"/>
  <c r="D25" i="4"/>
  <c r="D26" i="4"/>
  <c r="B4" i="2" l="1"/>
  <c r="B4" i="26"/>
  <c r="B4" i="4"/>
  <c r="B4" i="27"/>
  <c r="B4" i="11"/>
  <c r="B4" i="17"/>
  <c r="B4" i="6"/>
  <c r="B4" i="18"/>
  <c r="B4" i="33"/>
  <c r="B4" i="21"/>
  <c r="B3" i="9"/>
  <c r="B3" i="43"/>
  <c r="B4" i="14"/>
  <c r="B4" i="10"/>
  <c r="B4" i="47"/>
  <c r="B4" i="32"/>
  <c r="B4" i="30"/>
  <c r="B2" i="26"/>
  <c r="B2" i="4"/>
  <c r="B2" i="27"/>
  <c r="B2" i="11"/>
  <c r="B2" i="17"/>
  <c r="B2" i="6"/>
  <c r="B2" i="18"/>
  <c r="B2" i="33"/>
  <c r="B2" i="21"/>
  <c r="B2" i="9"/>
  <c r="B2" i="43"/>
  <c r="B2" i="14"/>
  <c r="B2" i="10"/>
  <c r="B2" i="47"/>
  <c r="B2" i="32"/>
  <c r="B2" i="30"/>
  <c r="B2" i="2"/>
  <c r="B3" i="42" l="1"/>
  <c r="I21" i="6"/>
  <c r="I15" i="6"/>
  <c r="A59" i="26"/>
  <c r="A60" i="26" s="1"/>
  <c r="A61" i="26" s="1"/>
  <c r="A62" i="26" s="1"/>
  <c r="A63" i="26" s="1"/>
  <c r="A64" i="26" s="1"/>
  <c r="A65" i="26" s="1"/>
  <c r="A66" i="26" s="1"/>
  <c r="A67" i="26" s="1"/>
  <c r="A68" i="26" s="1"/>
  <c r="A69" i="26" s="1"/>
  <c r="A70" i="26" s="1"/>
  <c r="A71" i="26" s="1"/>
  <c r="A72" i="26" s="1"/>
  <c r="A73" i="26" s="1"/>
  <c r="A74" i="26" s="1"/>
  <c r="A75" i="26" s="1"/>
  <c r="A76" i="26" s="1"/>
  <c r="A77" i="26" s="1"/>
  <c r="A78" i="26" s="1"/>
  <c r="A79" i="26" s="1"/>
  <c r="A80" i="26" s="1"/>
  <c r="A81" i="26" s="1"/>
  <c r="A82" i="26" s="1"/>
  <c r="A83" i="26" s="1"/>
  <c r="A84" i="26" s="1"/>
  <c r="A85" i="26" s="1"/>
  <c r="A86" i="26" s="1"/>
  <c r="A87" i="26" s="1"/>
  <c r="A88" i="26" s="1"/>
  <c r="A89" i="26" s="1"/>
  <c r="A90" i="26" s="1"/>
  <c r="A91" i="26" s="1"/>
  <c r="A92" i="26" s="1"/>
  <c r="A93" i="26" s="1"/>
  <c r="A94" i="26" s="1"/>
  <c r="A95" i="26" s="1"/>
  <c r="A96" i="26" s="1"/>
  <c r="A97" i="26" s="1"/>
  <c r="B58" i="26"/>
  <c r="B59" i="26" s="1"/>
  <c r="B60" i="26" s="1"/>
  <c r="B61" i="26" s="1"/>
  <c r="B62" i="26" s="1"/>
  <c r="B63" i="26" s="1"/>
  <c r="B64" i="26" s="1"/>
  <c r="B65" i="26" s="1"/>
  <c r="B66" i="26" s="1"/>
  <c r="B67" i="26" s="1"/>
  <c r="B68" i="26" s="1"/>
  <c r="B69" i="26" s="1"/>
  <c r="B70" i="26" s="1"/>
  <c r="B71" i="26" s="1"/>
  <c r="B72" i="26" s="1"/>
  <c r="B73" i="26" s="1"/>
  <c r="B74" i="26" s="1"/>
  <c r="B75" i="26" s="1"/>
  <c r="B76" i="26" s="1"/>
  <c r="B77" i="26" s="1"/>
  <c r="B78" i="26" s="1"/>
  <c r="B79" i="26" s="1"/>
  <c r="B80" i="26" s="1"/>
  <c r="B81" i="26" s="1"/>
  <c r="B82" i="26" s="1"/>
  <c r="B83" i="26" s="1"/>
  <c r="B84" i="26" s="1"/>
  <c r="B85" i="26" s="1"/>
  <c r="B86" i="26" s="1"/>
  <c r="B87" i="26" s="1"/>
  <c r="B88" i="26" s="1"/>
  <c r="B89" i="26" s="1"/>
  <c r="B90" i="26" s="1"/>
  <c r="B91" i="26" s="1"/>
  <c r="B92" i="26" s="1"/>
  <c r="B93" i="26" s="1"/>
  <c r="B94" i="26" s="1"/>
  <c r="B95" i="26" s="1"/>
  <c r="B96" i="26" s="1"/>
  <c r="B97" i="26" s="1"/>
  <c r="M51" i="26"/>
  <c r="M50" i="26"/>
  <c r="M49" i="26"/>
  <c r="M48" i="26"/>
  <c r="E97" i="26"/>
  <c r="E96" i="26"/>
  <c r="E95" i="26"/>
  <c r="E94" i="26"/>
  <c r="G36" i="47"/>
  <c r="G35" i="47"/>
  <c r="G34" i="47"/>
  <c r="C20" i="10"/>
  <c r="C19" i="10"/>
  <c r="C18" i="10"/>
  <c r="I33" i="6"/>
  <c r="D27" i="40"/>
  <c r="D33" i="40" s="1"/>
  <c r="D19" i="40"/>
  <c r="D32" i="40" s="1"/>
  <c r="B3" i="45"/>
  <c r="H26" i="35"/>
  <c r="H27" i="35" s="1"/>
  <c r="F13" i="44"/>
  <c r="B3" i="44"/>
  <c r="E27" i="4"/>
  <c r="E43" i="4"/>
  <c r="E59" i="4"/>
  <c r="G66" i="4"/>
  <c r="G29" i="47" l="1"/>
  <c r="E44" i="47" s="1"/>
  <c r="G37" i="47"/>
  <c r="G38" i="47" s="1"/>
  <c r="E45" i="47" s="1"/>
  <c r="E66" i="4"/>
  <c r="E46" i="47" l="1"/>
  <c r="D69" i="26" l="1"/>
  <c r="D75" i="26"/>
  <c r="D81" i="26"/>
  <c r="D87" i="26"/>
  <c r="D64" i="26"/>
  <c r="D64" i="67" s="1"/>
  <c r="D93" i="26"/>
  <c r="D70" i="26"/>
  <c r="D76" i="26"/>
  <c r="D82" i="26"/>
  <c r="D88" i="26"/>
  <c r="D65" i="26"/>
  <c r="D77" i="26"/>
  <c r="D83" i="26"/>
  <c r="D66" i="26"/>
  <c r="D72" i="26"/>
  <c r="D78" i="26"/>
  <c r="D84" i="26"/>
  <c r="D90" i="26"/>
  <c r="D89" i="26"/>
  <c r="D67" i="26"/>
  <c r="D73" i="26"/>
  <c r="D79" i="26"/>
  <c r="D85" i="26"/>
  <c r="D91" i="26"/>
  <c r="D68" i="26"/>
  <c r="D74" i="26"/>
  <c r="D80" i="26"/>
  <c r="D86" i="26"/>
  <c r="D92" i="26"/>
  <c r="D71" i="26"/>
  <c r="C62" i="43"/>
  <c r="C61" i="43"/>
  <c r="F47" i="43"/>
  <c r="F48" i="43"/>
  <c r="F49" i="43"/>
  <c r="F50" i="43"/>
  <c r="F31" i="43"/>
  <c r="F32" i="43"/>
  <c r="F33" i="43"/>
  <c r="F34" i="43"/>
  <c r="F35" i="43"/>
  <c r="F36" i="43"/>
  <c r="F37" i="43"/>
  <c r="F38" i="43"/>
  <c r="F39" i="43"/>
  <c r="F15" i="43"/>
  <c r="F16" i="43"/>
  <c r="F17" i="43"/>
  <c r="F18" i="43"/>
  <c r="F19" i="43"/>
  <c r="F20" i="43"/>
  <c r="F21" i="43"/>
  <c r="F22" i="43"/>
  <c r="F23" i="43"/>
  <c r="E93" i="26" l="1"/>
  <c r="D93" i="67"/>
  <c r="E93" i="67" s="1"/>
  <c r="E64" i="67"/>
  <c r="E77" i="26"/>
  <c r="D77" i="67"/>
  <c r="E77" i="67" s="1"/>
  <c r="E87" i="26"/>
  <c r="D87" i="67"/>
  <c r="E87" i="67" s="1"/>
  <c r="E90" i="26"/>
  <c r="D90" i="67"/>
  <c r="E90" i="67" s="1"/>
  <c r="E85" i="26"/>
  <c r="D85" i="67"/>
  <c r="E85" i="67" s="1"/>
  <c r="E79" i="26"/>
  <c r="D79" i="67"/>
  <c r="E79" i="67" s="1"/>
  <c r="E72" i="26"/>
  <c r="D72" i="67"/>
  <c r="E72" i="67" s="1"/>
  <c r="E81" i="26"/>
  <c r="D81" i="67"/>
  <c r="E81" i="67" s="1"/>
  <c r="E71" i="26"/>
  <c r="D71" i="67"/>
  <c r="E71" i="67" s="1"/>
  <c r="E92" i="26"/>
  <c r="D92" i="67"/>
  <c r="E92" i="67" s="1"/>
  <c r="E65" i="26"/>
  <c r="D65" i="67"/>
  <c r="E65" i="67" s="1"/>
  <c r="E88" i="26"/>
  <c r="D88" i="67"/>
  <c r="E88" i="67" s="1"/>
  <c r="E80" i="26"/>
  <c r="D80" i="67"/>
  <c r="E80" i="67" s="1"/>
  <c r="E74" i="26"/>
  <c r="D74" i="67"/>
  <c r="E74" i="67" s="1"/>
  <c r="E66" i="26"/>
  <c r="D66" i="67"/>
  <c r="E66" i="67" s="1"/>
  <c r="E75" i="26"/>
  <c r="D75" i="67"/>
  <c r="E75" i="67" s="1"/>
  <c r="E91" i="26"/>
  <c r="D91" i="67"/>
  <c r="E91" i="67" s="1"/>
  <c r="E84" i="26"/>
  <c r="D84" i="67"/>
  <c r="E84" i="67" s="1"/>
  <c r="E86" i="26"/>
  <c r="D86" i="67"/>
  <c r="E86" i="67" s="1"/>
  <c r="E78" i="26"/>
  <c r="D78" i="67"/>
  <c r="E78" i="67" s="1"/>
  <c r="E73" i="26"/>
  <c r="D73" i="67"/>
  <c r="E73" i="67" s="1"/>
  <c r="E82" i="26"/>
  <c r="D82" i="67"/>
  <c r="E82" i="67" s="1"/>
  <c r="E67" i="26"/>
  <c r="D67" i="67"/>
  <c r="E67" i="67" s="1"/>
  <c r="E76" i="26"/>
  <c r="D76" i="67"/>
  <c r="E76" i="67" s="1"/>
  <c r="E68" i="26"/>
  <c r="D68" i="67"/>
  <c r="E68" i="67" s="1"/>
  <c r="E89" i="26"/>
  <c r="D89" i="67"/>
  <c r="E89" i="67" s="1"/>
  <c r="E83" i="26"/>
  <c r="D83" i="67"/>
  <c r="E83" i="67" s="1"/>
  <c r="E70" i="26"/>
  <c r="D70" i="67"/>
  <c r="E70" i="67" s="1"/>
  <c r="E69" i="26"/>
  <c r="D69" i="67"/>
  <c r="E69" i="67" s="1"/>
  <c r="E64" i="26"/>
  <c r="D98" i="26"/>
  <c r="C65" i="43"/>
  <c r="F14" i="9" s="1"/>
  <c r="F51" i="43"/>
  <c r="F52" i="43" s="1"/>
  <c r="F40" i="43"/>
  <c r="F41" i="43" s="1"/>
  <c r="F42" i="43" s="1"/>
  <c r="F12" i="9" s="1"/>
  <c r="E12" i="9" s="1"/>
  <c r="F24" i="43"/>
  <c r="E46" i="42"/>
  <c r="D46" i="42"/>
  <c r="H35" i="68" l="1"/>
  <c r="F69" i="67"/>
  <c r="G69" i="67"/>
  <c r="H31" i="68"/>
  <c r="G65" i="67"/>
  <c r="F65" i="67"/>
  <c r="H47" i="68"/>
  <c r="F81" i="67"/>
  <c r="G81" i="67"/>
  <c r="H51" i="68"/>
  <c r="F85" i="67"/>
  <c r="G85" i="67"/>
  <c r="H43" i="68"/>
  <c r="F77" i="67"/>
  <c r="G77" i="67"/>
  <c r="H40" i="68"/>
  <c r="G74" i="67"/>
  <c r="F74" i="67"/>
  <c r="H33" i="68"/>
  <c r="F67" i="67"/>
  <c r="G67" i="67"/>
  <c r="H48" i="68"/>
  <c r="G82" i="67"/>
  <c r="F82" i="67"/>
  <c r="H41" i="68"/>
  <c r="F75" i="67"/>
  <c r="G75" i="67"/>
  <c r="H58" i="68"/>
  <c r="G92" i="67"/>
  <c r="F92" i="67"/>
  <c r="H38" i="68"/>
  <c r="G72" i="67"/>
  <c r="F72" i="67"/>
  <c r="H56" i="68"/>
  <c r="G90" i="67"/>
  <c r="F90" i="67"/>
  <c r="H30" i="68"/>
  <c r="G64" i="67"/>
  <c r="F64" i="67"/>
  <c r="H55" i="68"/>
  <c r="G89" i="67"/>
  <c r="F89" i="67"/>
  <c r="H46" i="68"/>
  <c r="G80" i="67"/>
  <c r="F80" i="67"/>
  <c r="D98" i="67"/>
  <c r="H44" i="68"/>
  <c r="G78" i="67"/>
  <c r="F78" i="67"/>
  <c r="H36" i="68"/>
  <c r="G70" i="67"/>
  <c r="F70" i="67"/>
  <c r="H42" i="68"/>
  <c r="G76" i="67"/>
  <c r="F76" i="67"/>
  <c r="H50" i="68"/>
  <c r="G84" i="67"/>
  <c r="F84" i="67"/>
  <c r="H54" i="68"/>
  <c r="G88" i="67"/>
  <c r="F88" i="67"/>
  <c r="H37" i="68"/>
  <c r="G71" i="67"/>
  <c r="F71" i="67"/>
  <c r="H53" i="68"/>
  <c r="G87" i="67"/>
  <c r="F87" i="67"/>
  <c r="H59" i="68"/>
  <c r="G93" i="67"/>
  <c r="F93" i="67"/>
  <c r="H57" i="68"/>
  <c r="G91" i="67"/>
  <c r="F91" i="67"/>
  <c r="H34" i="68"/>
  <c r="G68" i="67"/>
  <c r="F68" i="67"/>
  <c r="H52" i="68"/>
  <c r="F86" i="67"/>
  <c r="G86" i="67"/>
  <c r="H49" i="68"/>
  <c r="G83" i="67"/>
  <c r="F83" i="67"/>
  <c r="H39" i="68"/>
  <c r="G73" i="67"/>
  <c r="F73" i="67"/>
  <c r="H32" i="68"/>
  <c r="F66" i="67"/>
  <c r="G66" i="67"/>
  <c r="H45" i="68"/>
  <c r="F79" i="67"/>
  <c r="G79" i="67"/>
  <c r="F53" i="43"/>
  <c r="F13" i="9" s="1"/>
  <c r="E13" i="9" s="1"/>
  <c r="E19" i="40"/>
  <c r="E32" i="40" s="1"/>
  <c r="E14" i="9"/>
  <c r="D13" i="44"/>
  <c r="E13" i="44"/>
  <c r="F25" i="43"/>
  <c r="F26" i="43" s="1"/>
  <c r="F11" i="9" s="1"/>
  <c r="E11" i="9" s="1"/>
  <c r="F14" i="36"/>
  <c r="D21" i="36"/>
  <c r="D22" i="36" s="1"/>
  <c r="J45" i="68" l="1"/>
  <c r="I45" i="68"/>
  <c r="J52" i="68"/>
  <c r="I52" i="68"/>
  <c r="J57" i="68"/>
  <c r="I57" i="68"/>
  <c r="J53" i="68"/>
  <c r="I53" i="68"/>
  <c r="J54" i="68"/>
  <c r="I54" i="68"/>
  <c r="J42" i="68"/>
  <c r="I42" i="68"/>
  <c r="J44" i="68"/>
  <c r="I44" i="68"/>
  <c r="J55" i="68"/>
  <c r="I55" i="68"/>
  <c r="J56" i="68"/>
  <c r="I56" i="68"/>
  <c r="I58" i="68"/>
  <c r="J58" i="68"/>
  <c r="J48" i="68"/>
  <c r="I48" i="68"/>
  <c r="I40" i="68"/>
  <c r="J40" i="68"/>
  <c r="J51" i="68"/>
  <c r="I51" i="68"/>
  <c r="J31" i="68"/>
  <c r="I31" i="68"/>
  <c r="J49" i="68"/>
  <c r="I49" i="68"/>
  <c r="I59" i="68"/>
  <c r="J59" i="68"/>
  <c r="J50" i="68"/>
  <c r="I50" i="68"/>
  <c r="J36" i="68"/>
  <c r="I36" i="68"/>
  <c r="J39" i="68"/>
  <c r="I39" i="68"/>
  <c r="I32" i="68"/>
  <c r="J32" i="68"/>
  <c r="I34" i="68"/>
  <c r="J34" i="68"/>
  <c r="J37" i="68"/>
  <c r="I37" i="68"/>
  <c r="J46" i="68"/>
  <c r="I46" i="68"/>
  <c r="J30" i="68"/>
  <c r="I30" i="68"/>
  <c r="I38" i="68"/>
  <c r="J38" i="68"/>
  <c r="I41" i="68"/>
  <c r="J41" i="68"/>
  <c r="J33" i="68"/>
  <c r="I33" i="68"/>
  <c r="J43" i="68"/>
  <c r="I43" i="68"/>
  <c r="J47" i="68"/>
  <c r="I47" i="68"/>
  <c r="J35" i="68"/>
  <c r="I35" i="68"/>
  <c r="I19" i="26"/>
  <c r="I19" i="67" s="1"/>
  <c r="I25" i="26"/>
  <c r="I25" i="67" s="1"/>
  <c r="I31" i="26"/>
  <c r="I31" i="67" s="1"/>
  <c r="I37" i="26"/>
  <c r="I37" i="67" s="1"/>
  <c r="I43" i="26"/>
  <c r="I43" i="67" s="1"/>
  <c r="I20" i="26"/>
  <c r="I20" i="67" s="1"/>
  <c r="I26" i="26"/>
  <c r="I26" i="67" s="1"/>
  <c r="I32" i="26"/>
  <c r="I32" i="67" s="1"/>
  <c r="I38" i="26"/>
  <c r="I38" i="67" s="1"/>
  <c r="I44" i="26"/>
  <c r="I44" i="67" s="1"/>
  <c r="I27" i="26"/>
  <c r="I27" i="67" s="1"/>
  <c r="I33" i="26"/>
  <c r="I33" i="67" s="1"/>
  <c r="I39" i="26"/>
  <c r="I39" i="67" s="1"/>
  <c r="I45" i="26"/>
  <c r="I45" i="67" s="1"/>
  <c r="I22" i="26"/>
  <c r="I22" i="67" s="1"/>
  <c r="I28" i="26"/>
  <c r="I28" i="67" s="1"/>
  <c r="I34" i="26"/>
  <c r="I34" i="67" s="1"/>
  <c r="I40" i="26"/>
  <c r="I40" i="67" s="1"/>
  <c r="I46" i="26"/>
  <c r="I46" i="67" s="1"/>
  <c r="I23" i="26"/>
  <c r="I23" i="67" s="1"/>
  <c r="I35" i="26"/>
  <c r="I35" i="67" s="1"/>
  <c r="I41" i="26"/>
  <c r="I41" i="67" s="1"/>
  <c r="I30" i="26"/>
  <c r="I30" i="67" s="1"/>
  <c r="I36" i="26"/>
  <c r="I36" i="67" s="1"/>
  <c r="I18" i="26"/>
  <c r="I18" i="67" s="1"/>
  <c r="I21" i="26"/>
  <c r="I21" i="67" s="1"/>
  <c r="I29" i="26"/>
  <c r="I29" i="67" s="1"/>
  <c r="I47" i="26"/>
  <c r="I47" i="67" s="1"/>
  <c r="I24" i="26"/>
  <c r="I24" i="67" s="1"/>
  <c r="I42" i="26"/>
  <c r="I42" i="67" s="1"/>
  <c r="F15" i="9"/>
  <c r="E15" i="9"/>
  <c r="E15" i="36"/>
  <c r="G26" i="26" l="1"/>
  <c r="G26" i="67" s="1"/>
  <c r="I52" i="26"/>
  <c r="I52" i="67" s="1"/>
  <c r="G22" i="26"/>
  <c r="G22" i="67" s="1"/>
  <c r="G21" i="26"/>
  <c r="G21" i="67" s="1"/>
  <c r="G18" i="26"/>
  <c r="G18" i="67" s="1"/>
  <c r="G29" i="26"/>
  <c r="G29" i="67" s="1"/>
  <c r="G47" i="26"/>
  <c r="G47" i="67" s="1"/>
  <c r="G43" i="26"/>
  <c r="G43" i="67" s="1"/>
  <c r="G42" i="26"/>
  <c r="G42" i="67" s="1"/>
  <c r="G20" i="26"/>
  <c r="G20" i="67" s="1"/>
  <c r="G41" i="26"/>
  <c r="G41" i="67" s="1"/>
  <c r="G28" i="26"/>
  <c r="G28" i="67" s="1"/>
  <c r="G37" i="26"/>
  <c r="G37" i="67" s="1"/>
  <c r="G36" i="26"/>
  <c r="G36" i="67" s="1"/>
  <c r="G35" i="26"/>
  <c r="G35" i="67" s="1"/>
  <c r="G45" i="26"/>
  <c r="G45" i="67" s="1"/>
  <c r="G44" i="26"/>
  <c r="G44" i="67" s="1"/>
  <c r="G31" i="26"/>
  <c r="G31" i="67" s="1"/>
  <c r="G30" i="26"/>
  <c r="G30" i="67" s="1"/>
  <c r="G46" i="26"/>
  <c r="G46" i="67" s="1"/>
  <c r="G39" i="26"/>
  <c r="G39" i="67" s="1"/>
  <c r="G38" i="26"/>
  <c r="G38" i="67" s="1"/>
  <c r="G25" i="26"/>
  <c r="G25" i="67" s="1"/>
  <c r="G24" i="26"/>
  <c r="G24" i="67" s="1"/>
  <c r="G40" i="26"/>
  <c r="G40" i="67" s="1"/>
  <c r="G33" i="26"/>
  <c r="G33" i="67" s="1"/>
  <c r="G32" i="26"/>
  <c r="G32" i="67" s="1"/>
  <c r="G19" i="26"/>
  <c r="G19" i="67" s="1"/>
  <c r="G23" i="26"/>
  <c r="G23" i="67" s="1"/>
  <c r="G34" i="26"/>
  <c r="G34" i="67" s="1"/>
  <c r="G27" i="26"/>
  <c r="G27" i="67" s="1"/>
  <c r="E27" i="42"/>
  <c r="D27" i="42"/>
  <c r="E26" i="42"/>
  <c r="D26" i="42"/>
  <c r="G52" i="26" l="1"/>
  <c r="G52" i="67" s="1"/>
  <c r="E29" i="42"/>
  <c r="D29" i="42"/>
  <c r="D35" i="42" s="1"/>
  <c r="D37" i="42" s="1"/>
  <c r="D39" i="42" s="1"/>
  <c r="D28" i="36" s="1"/>
  <c r="D29" i="36" s="1"/>
  <c r="D14" i="45" s="1"/>
  <c r="B28" i="36" l="1"/>
  <c r="B27" i="36"/>
  <c r="F15" i="41" l="1"/>
  <c r="F14" i="41"/>
  <c r="C28" i="36"/>
  <c r="E28" i="36" s="1"/>
  <c r="E29" i="36" s="1"/>
  <c r="C27" i="36"/>
  <c r="C20" i="36"/>
  <c r="B20" i="36"/>
  <c r="C21" i="36"/>
  <c r="E21" i="36" s="1"/>
  <c r="E22" i="36" s="1"/>
  <c r="B21" i="36"/>
  <c r="B14" i="36"/>
  <c r="F19" i="40" l="1"/>
  <c r="F32" i="40" s="1"/>
  <c r="H19" i="40"/>
  <c r="H32" i="40" s="1"/>
  <c r="I32" i="40" s="1"/>
  <c r="F15" i="36"/>
  <c r="G14" i="41"/>
  <c r="H14" i="41" s="1"/>
  <c r="G15" i="41"/>
  <c r="H15" i="41" s="1"/>
  <c r="I15" i="41" s="1"/>
  <c r="H16" i="41" l="1"/>
  <c r="I14" i="41"/>
  <c r="I16" i="41" s="1"/>
  <c r="G16" i="41"/>
  <c r="G19" i="40"/>
  <c r="G32" i="40" s="1"/>
  <c r="E14" i="45"/>
  <c r="F14" i="45"/>
  <c r="H27" i="6"/>
  <c r="I27" i="6" s="1"/>
  <c r="B92" i="21"/>
  <c r="B51" i="21"/>
  <c r="B10" i="21"/>
  <c r="J24" i="26" l="1"/>
  <c r="J24" i="67" s="1"/>
  <c r="J30" i="26"/>
  <c r="J30" i="67" s="1"/>
  <c r="J36" i="26"/>
  <c r="J36" i="67" s="1"/>
  <c r="J42" i="26"/>
  <c r="J42" i="67" s="1"/>
  <c r="J18" i="26"/>
  <c r="J18" i="67" s="1"/>
  <c r="J19" i="26"/>
  <c r="J19" i="67" s="1"/>
  <c r="J37" i="26"/>
  <c r="J37" i="67" s="1"/>
  <c r="J20" i="26"/>
  <c r="J20" i="67" s="1"/>
  <c r="J26" i="26"/>
  <c r="J26" i="67" s="1"/>
  <c r="J32" i="26"/>
  <c r="J32" i="67" s="1"/>
  <c r="J38" i="26"/>
  <c r="J38" i="67" s="1"/>
  <c r="J44" i="26"/>
  <c r="J44" i="67" s="1"/>
  <c r="J21" i="26"/>
  <c r="J21" i="67" s="1"/>
  <c r="J27" i="26"/>
  <c r="J27" i="67" s="1"/>
  <c r="J33" i="26"/>
  <c r="J33" i="67" s="1"/>
  <c r="J39" i="26"/>
  <c r="J39" i="67" s="1"/>
  <c r="J45" i="26"/>
  <c r="J45" i="67" s="1"/>
  <c r="J23" i="26"/>
  <c r="J23" i="67" s="1"/>
  <c r="J29" i="26"/>
  <c r="J29" i="67" s="1"/>
  <c r="J41" i="26"/>
  <c r="J41" i="67" s="1"/>
  <c r="J31" i="26"/>
  <c r="J31" i="67" s="1"/>
  <c r="J22" i="26"/>
  <c r="J22" i="67" s="1"/>
  <c r="J28" i="26"/>
  <c r="J28" i="67" s="1"/>
  <c r="J34" i="26"/>
  <c r="J34" i="67" s="1"/>
  <c r="J40" i="26"/>
  <c r="J40" i="67" s="1"/>
  <c r="J46" i="26"/>
  <c r="J46" i="67" s="1"/>
  <c r="J35" i="26"/>
  <c r="J35" i="67" s="1"/>
  <c r="J47" i="26"/>
  <c r="J47" i="67" s="1"/>
  <c r="J25" i="26"/>
  <c r="J25" i="67" s="1"/>
  <c r="J43" i="26"/>
  <c r="J43" i="67" s="1"/>
  <c r="L21" i="26"/>
  <c r="L21" i="67" s="1"/>
  <c r="L27" i="26"/>
  <c r="L27" i="67" s="1"/>
  <c r="L33" i="26"/>
  <c r="L33" i="67" s="1"/>
  <c r="L39" i="26"/>
  <c r="L39" i="67" s="1"/>
  <c r="L45" i="26"/>
  <c r="L45" i="67" s="1"/>
  <c r="L34" i="26"/>
  <c r="L34" i="67" s="1"/>
  <c r="L23" i="26"/>
  <c r="L23" i="67" s="1"/>
  <c r="L29" i="26"/>
  <c r="L29" i="67" s="1"/>
  <c r="L35" i="26"/>
  <c r="L35" i="67" s="1"/>
  <c r="L41" i="26"/>
  <c r="L41" i="67" s="1"/>
  <c r="L47" i="26"/>
  <c r="L47" i="67" s="1"/>
  <c r="L24" i="26"/>
  <c r="L24" i="67" s="1"/>
  <c r="L30" i="26"/>
  <c r="L30" i="67" s="1"/>
  <c r="L36" i="26"/>
  <c r="L36" i="67" s="1"/>
  <c r="L42" i="26"/>
  <c r="L42" i="67" s="1"/>
  <c r="L18" i="26"/>
  <c r="L18" i="67" s="1"/>
  <c r="L20" i="26"/>
  <c r="L20" i="67" s="1"/>
  <c r="L26" i="26"/>
  <c r="L26" i="67" s="1"/>
  <c r="L38" i="26"/>
  <c r="L38" i="67" s="1"/>
  <c r="L44" i="26"/>
  <c r="L44" i="67" s="1"/>
  <c r="L28" i="26"/>
  <c r="L28" i="67" s="1"/>
  <c r="L46" i="26"/>
  <c r="L46" i="67" s="1"/>
  <c r="L19" i="26"/>
  <c r="L19" i="67" s="1"/>
  <c r="L25" i="26"/>
  <c r="L25" i="67" s="1"/>
  <c r="L31" i="26"/>
  <c r="L31" i="67" s="1"/>
  <c r="L37" i="26"/>
  <c r="L37" i="67" s="1"/>
  <c r="L43" i="26"/>
  <c r="L43" i="67" s="1"/>
  <c r="L32" i="26"/>
  <c r="L32" i="67" s="1"/>
  <c r="L22" i="26"/>
  <c r="L22" i="67" s="1"/>
  <c r="L40" i="26"/>
  <c r="L40" i="67" s="1"/>
  <c r="B93" i="21"/>
  <c r="D92" i="21"/>
  <c r="F92" i="21" s="1"/>
  <c r="C92" i="21"/>
  <c r="E92" i="21" s="1"/>
  <c r="B3" i="41"/>
  <c r="B3" i="40"/>
  <c r="B3" i="36"/>
  <c r="B3" i="35"/>
  <c r="B16" i="27"/>
  <c r="G16" i="27" s="1" a="1"/>
  <c r="G16" i="27" s="1"/>
  <c r="B140" i="17"/>
  <c r="B99" i="17"/>
  <c r="D100" i="17"/>
  <c r="E100" i="17"/>
  <c r="F100" i="17"/>
  <c r="G100" i="17"/>
  <c r="H100" i="17"/>
  <c r="D101" i="17"/>
  <c r="E101" i="17"/>
  <c r="F101" i="17"/>
  <c r="G101" i="17"/>
  <c r="H101" i="17"/>
  <c r="D102" i="17"/>
  <c r="E102" i="17"/>
  <c r="F102" i="17"/>
  <c r="G102" i="17"/>
  <c r="H102" i="17"/>
  <c r="D103" i="17"/>
  <c r="E103" i="17"/>
  <c r="F103" i="17"/>
  <c r="G103" i="17"/>
  <c r="H103" i="17"/>
  <c r="D99" i="17"/>
  <c r="E99" i="17"/>
  <c r="F99" i="17"/>
  <c r="G99" i="17"/>
  <c r="H99" i="17"/>
  <c r="C99" i="17"/>
  <c r="C100" i="17"/>
  <c r="C101" i="17"/>
  <c r="C102" i="17"/>
  <c r="C103" i="17"/>
  <c r="I58" i="17"/>
  <c r="I59" i="17"/>
  <c r="I60" i="17"/>
  <c r="I61" i="17"/>
  <c r="I62" i="17"/>
  <c r="I17" i="17"/>
  <c r="I18" i="17"/>
  <c r="I19" i="17"/>
  <c r="I20" i="17"/>
  <c r="I21" i="17"/>
  <c r="H140" i="17" l="1"/>
  <c r="J52" i="26"/>
  <c r="J52" i="67" s="1"/>
  <c r="L52" i="26"/>
  <c r="L52" i="67" s="1"/>
  <c r="E23" i="17"/>
  <c r="E24" i="17" s="1"/>
  <c r="E25" i="17" s="1"/>
  <c r="E26" i="17" s="1"/>
  <c r="E27" i="17" s="1"/>
  <c r="E28" i="17" s="1"/>
  <c r="E29" i="17" s="1"/>
  <c r="E30" i="17" s="1"/>
  <c r="E31" i="17" s="1"/>
  <c r="E32" i="17" s="1"/>
  <c r="E33" i="17" s="1"/>
  <c r="E34" i="17" s="1"/>
  <c r="E35" i="17" s="1"/>
  <c r="E36" i="17" s="1"/>
  <c r="E37" i="17" s="1"/>
  <c r="E38" i="17" s="1"/>
  <c r="E39" i="17" s="1"/>
  <c r="E40" i="17" s="1"/>
  <c r="E41" i="17" s="1"/>
  <c r="E42" i="17" s="1"/>
  <c r="E43" i="17" s="1"/>
  <c r="E44" i="17" s="1"/>
  <c r="E45" i="17" s="1"/>
  <c r="E46" i="17" s="1"/>
  <c r="E47" i="17" s="1"/>
  <c r="E48" i="17" s="1"/>
  <c r="E49" i="17" s="1"/>
  <c r="E50" i="17" s="1"/>
  <c r="E51" i="17" s="1"/>
  <c r="G140" i="17"/>
  <c r="C140" i="17"/>
  <c r="F140" i="17"/>
  <c r="E140" i="17"/>
  <c r="D140" i="17"/>
  <c r="B94" i="21"/>
  <c r="D93" i="21"/>
  <c r="F93" i="21" s="1"/>
  <c r="C93" i="21"/>
  <c r="E93" i="21" s="1"/>
  <c r="H23" i="17"/>
  <c r="H24" i="17" s="1"/>
  <c r="H25" i="17" s="1"/>
  <c r="H26" i="17" s="1"/>
  <c r="H27" i="17" s="1"/>
  <c r="H28" i="17" s="1"/>
  <c r="H29" i="17" s="1"/>
  <c r="H30" i="17" s="1"/>
  <c r="H31" i="17" s="1"/>
  <c r="H32" i="17" s="1"/>
  <c r="H33" i="17" s="1"/>
  <c r="H34" i="17" s="1"/>
  <c r="H35" i="17" s="1"/>
  <c r="H36" i="17" s="1"/>
  <c r="H37" i="17" s="1"/>
  <c r="H38" i="17" s="1"/>
  <c r="H39" i="17" s="1"/>
  <c r="H40" i="17" s="1"/>
  <c r="H41" i="17" s="1"/>
  <c r="H42" i="17" s="1"/>
  <c r="H43" i="17" s="1"/>
  <c r="H44" i="17" s="1"/>
  <c r="H45" i="17" s="1"/>
  <c r="H46" i="17" s="1"/>
  <c r="H47" i="17" s="1"/>
  <c r="H48" i="17" s="1"/>
  <c r="H49" i="17" s="1"/>
  <c r="H50" i="17" s="1"/>
  <c r="H51" i="17" s="1"/>
  <c r="G23" i="17"/>
  <c r="G24" i="17" s="1"/>
  <c r="G25" i="17" s="1"/>
  <c r="G26" i="17" s="1"/>
  <c r="G27" i="17" s="1"/>
  <c r="G28" i="17" s="1"/>
  <c r="G29" i="17" s="1"/>
  <c r="G30" i="17" s="1"/>
  <c r="G31" i="17" s="1"/>
  <c r="G32" i="17" s="1"/>
  <c r="G33" i="17" s="1"/>
  <c r="G34" i="17" s="1"/>
  <c r="G35" i="17" s="1"/>
  <c r="G36" i="17" s="1"/>
  <c r="G37" i="17" s="1"/>
  <c r="G38" i="17" s="1"/>
  <c r="G39" i="17" s="1"/>
  <c r="G40" i="17" s="1"/>
  <c r="G41" i="17" s="1"/>
  <c r="G42" i="17" s="1"/>
  <c r="G43" i="17" s="1"/>
  <c r="G44" i="17" s="1"/>
  <c r="G45" i="17" s="1"/>
  <c r="G46" i="17" s="1"/>
  <c r="G47" i="17" s="1"/>
  <c r="G48" i="17" s="1"/>
  <c r="G49" i="17" s="1"/>
  <c r="G50" i="17" s="1"/>
  <c r="G51" i="17" s="1"/>
  <c r="F23" i="17"/>
  <c r="F24" i="17" s="1"/>
  <c r="F25" i="17" s="1"/>
  <c r="F26" i="17" s="1"/>
  <c r="F27" i="17" s="1"/>
  <c r="F28" i="17" s="1"/>
  <c r="F29" i="17" s="1"/>
  <c r="F30" i="17" s="1"/>
  <c r="F31" i="17" s="1"/>
  <c r="F32" i="17" s="1"/>
  <c r="F33" i="17" s="1"/>
  <c r="F34" i="17" s="1"/>
  <c r="F35" i="17" s="1"/>
  <c r="F36" i="17" s="1"/>
  <c r="F37" i="17" s="1"/>
  <c r="F38" i="17" s="1"/>
  <c r="F39" i="17" s="1"/>
  <c r="F40" i="17" s="1"/>
  <c r="F41" i="17" s="1"/>
  <c r="F42" i="17" s="1"/>
  <c r="F43" i="17" s="1"/>
  <c r="F44" i="17" s="1"/>
  <c r="F45" i="17" s="1"/>
  <c r="F46" i="17" s="1"/>
  <c r="F47" i="17" s="1"/>
  <c r="F48" i="17" s="1"/>
  <c r="F49" i="17" s="1"/>
  <c r="F50" i="17" s="1"/>
  <c r="F51" i="17" s="1"/>
  <c r="D23" i="17"/>
  <c r="C23" i="17"/>
  <c r="C24" i="17" s="1"/>
  <c r="C25" i="17" s="1"/>
  <c r="C26" i="17" s="1"/>
  <c r="C27" i="17" s="1"/>
  <c r="C28" i="17" s="1"/>
  <c r="C29" i="17" s="1"/>
  <c r="C30" i="17" s="1"/>
  <c r="C31" i="17" s="1"/>
  <c r="C32" i="17" s="1"/>
  <c r="C33" i="17" s="1"/>
  <c r="C34" i="17" s="1"/>
  <c r="C35" i="17" s="1"/>
  <c r="C36" i="17" s="1"/>
  <c r="C37" i="17" s="1"/>
  <c r="C38" i="17" s="1"/>
  <c r="C39" i="17" s="1"/>
  <c r="C40" i="17" s="1"/>
  <c r="C41" i="17" s="1"/>
  <c r="C42" i="17" s="1"/>
  <c r="C43" i="17" s="1"/>
  <c r="C44" i="17" s="1"/>
  <c r="C45" i="17" s="1"/>
  <c r="C46" i="17" s="1"/>
  <c r="C47" i="17" s="1"/>
  <c r="C48" i="17" s="1"/>
  <c r="C49" i="17" s="1"/>
  <c r="C50" i="17" s="1"/>
  <c r="C51" i="17" s="1"/>
  <c r="F21" i="14"/>
  <c r="H104" i="17"/>
  <c r="E104" i="17"/>
  <c r="G104" i="17"/>
  <c r="C104" i="17"/>
  <c r="D104" i="17"/>
  <c r="F104" i="17"/>
  <c r="I63" i="17"/>
  <c r="I102" i="17"/>
  <c r="I103" i="17"/>
  <c r="I99" i="17"/>
  <c r="I100" i="17"/>
  <c r="I101" i="17"/>
  <c r="I22" i="17"/>
  <c r="I52" i="17"/>
  <c r="I23" i="17" l="1"/>
  <c r="D24" i="17"/>
  <c r="D25" i="17" s="1"/>
  <c r="D26" i="17" s="1"/>
  <c r="D27" i="17" s="1"/>
  <c r="D28" i="17" s="1"/>
  <c r="D29" i="17" s="1"/>
  <c r="D30" i="17" s="1"/>
  <c r="D31" i="17" s="1"/>
  <c r="D32" i="17" s="1"/>
  <c r="D33" i="17" s="1"/>
  <c r="D34" i="17" s="1"/>
  <c r="D35" i="17" s="1"/>
  <c r="D36" i="17" s="1"/>
  <c r="D37" i="17" s="1"/>
  <c r="D38" i="17" s="1"/>
  <c r="D39" i="17" s="1"/>
  <c r="D40" i="17" s="1"/>
  <c r="D41" i="17" s="1"/>
  <c r="D42" i="17" s="1"/>
  <c r="D43" i="17" s="1"/>
  <c r="D44" i="17" s="1"/>
  <c r="D45" i="17" s="1"/>
  <c r="D46" i="17" s="1"/>
  <c r="D47" i="17" s="1"/>
  <c r="D48" i="17" s="1"/>
  <c r="D49" i="17" s="1"/>
  <c r="D50" i="17" s="1"/>
  <c r="D51" i="17" s="1"/>
  <c r="B95" i="21"/>
  <c r="D94" i="21"/>
  <c r="F94" i="21" s="1"/>
  <c r="C94" i="21"/>
  <c r="E94" i="21" s="1"/>
  <c r="I140" i="17"/>
  <c r="I24" i="17"/>
  <c r="I104" i="17"/>
  <c r="I27" i="17" l="1"/>
  <c r="I25" i="17"/>
  <c r="I26" i="17"/>
  <c r="D95" i="21"/>
  <c r="F95" i="21" s="1"/>
  <c r="C95" i="21"/>
  <c r="E95" i="21" s="1"/>
  <c r="I28" i="17"/>
  <c r="I29" i="17" l="1"/>
  <c r="I30" i="17" l="1"/>
  <c r="I31" i="17" l="1"/>
  <c r="I32" i="17" l="1"/>
  <c r="I33" i="17" l="1"/>
  <c r="I34" i="17" l="1"/>
  <c r="I35" i="17" l="1"/>
  <c r="I36" i="17" l="1"/>
  <c r="I37" i="17"/>
  <c r="I38" i="17" l="1"/>
  <c r="I39" i="17" l="1"/>
  <c r="B182" i="17"/>
  <c r="I182" i="17"/>
  <c r="B58" i="17"/>
  <c r="B17" i="17"/>
  <c r="I40" i="17" l="1"/>
  <c r="C20" i="30"/>
  <c r="B21" i="30"/>
  <c r="C21" i="30" s="1"/>
  <c r="B22" i="30" l="1"/>
  <c r="B52" i="21"/>
  <c r="B11" i="21"/>
  <c r="B141" i="17"/>
  <c r="B100" i="17"/>
  <c r="B17" i="27"/>
  <c r="G17" i="27" s="1"/>
  <c r="B59" i="17"/>
  <c r="B18" i="17"/>
  <c r="B183" i="17"/>
  <c r="I183" i="17" s="1"/>
  <c r="I41" i="17"/>
  <c r="C22" i="30"/>
  <c r="B23" i="30" l="1"/>
  <c r="B53" i="21"/>
  <c r="B12" i="21"/>
  <c r="B18" i="27"/>
  <c r="G18" i="27" s="1"/>
  <c r="B142" i="17"/>
  <c r="B101" i="17"/>
  <c r="B60" i="17"/>
  <c r="B19" i="17"/>
  <c r="B184" i="17"/>
  <c r="I184" i="17" s="1"/>
  <c r="D141" i="17"/>
  <c r="C141" i="17"/>
  <c r="G141" i="17"/>
  <c r="H141" i="17"/>
  <c r="E141" i="17"/>
  <c r="F141" i="17"/>
  <c r="I42" i="17"/>
  <c r="I43" i="17"/>
  <c r="I141" i="17" l="1"/>
  <c r="B24" i="30"/>
  <c r="B54" i="21"/>
  <c r="B13" i="21"/>
  <c r="B19" i="27"/>
  <c r="G19" i="27" s="1"/>
  <c r="B143" i="17"/>
  <c r="B102" i="17"/>
  <c r="B61" i="17"/>
  <c r="B20" i="17"/>
  <c r="B185" i="17"/>
  <c r="I185" i="17" s="1"/>
  <c r="C23" i="30"/>
  <c r="F142" i="17"/>
  <c r="H142" i="17"/>
  <c r="E142" i="17"/>
  <c r="G142" i="17"/>
  <c r="D142" i="17"/>
  <c r="C142" i="17"/>
  <c r="B25" i="30" l="1"/>
  <c r="B55" i="21"/>
  <c r="B14" i="21"/>
  <c r="B20" i="27"/>
  <c r="G20" i="27" s="1"/>
  <c r="B144" i="17"/>
  <c r="B103" i="17"/>
  <c r="B62" i="17"/>
  <c r="B21" i="17"/>
  <c r="B186" i="17"/>
  <c r="I186" i="17" s="1"/>
  <c r="C24" i="30"/>
  <c r="C143" i="17"/>
  <c r="G143" i="17"/>
  <c r="F143" i="17"/>
  <c r="D143" i="17"/>
  <c r="H143" i="17"/>
  <c r="E143" i="17"/>
  <c r="I142" i="17"/>
  <c r="I44" i="17"/>
  <c r="E144" i="17" l="1"/>
  <c r="H144" i="17"/>
  <c r="D144" i="17"/>
  <c r="C144" i="17"/>
  <c r="G144" i="17"/>
  <c r="F144" i="17"/>
  <c r="B26" i="30"/>
  <c r="B56" i="21"/>
  <c r="B15" i="21"/>
  <c r="B21" i="27"/>
  <c r="B145" i="17"/>
  <c r="B104" i="17"/>
  <c r="B22" i="17"/>
  <c r="B63" i="17"/>
  <c r="B187" i="17"/>
  <c r="C25" i="30"/>
  <c r="I143" i="17"/>
  <c r="I45" i="17"/>
  <c r="B27" i="30" l="1"/>
  <c r="B57" i="21"/>
  <c r="B16" i="21"/>
  <c r="B22" i="27"/>
  <c r="B146" i="17"/>
  <c r="B105" i="17"/>
  <c r="F18" i="11" s="1" a="1"/>
  <c r="F18" i="11" s="1"/>
  <c r="B188" i="17"/>
  <c r="B64" i="17"/>
  <c r="B23" i="17"/>
  <c r="C26" i="30"/>
  <c r="G17" i="11" a="1"/>
  <c r="G17" i="11" s="1"/>
  <c r="D17" i="11" a="1"/>
  <c r="D17" i="11" s="1"/>
  <c r="C17" i="11" a="1"/>
  <c r="C17" i="11" s="1"/>
  <c r="E17" i="11" a="1"/>
  <c r="E17" i="11" s="1"/>
  <c r="F17" i="11" a="1"/>
  <c r="F17" i="11" s="1"/>
  <c r="H17" i="11" a="1"/>
  <c r="H17" i="11" s="1"/>
  <c r="C145" i="17"/>
  <c r="C29" i="11" s="1" a="1"/>
  <c r="C29" i="11" s="1"/>
  <c r="C187" i="17" s="1"/>
  <c r="F145" i="17"/>
  <c r="F29" i="11" s="1" a="1"/>
  <c r="F29" i="11" s="1"/>
  <c r="D145" i="17"/>
  <c r="D29" i="11" s="1" a="1"/>
  <c r="D29" i="11" s="1"/>
  <c r="E145" i="17"/>
  <c r="E29" i="11" s="1" a="1"/>
  <c r="E29" i="11" s="1"/>
  <c r="G145" i="17"/>
  <c r="G29" i="11" s="1" a="1"/>
  <c r="G29" i="11" s="1"/>
  <c r="H145" i="17"/>
  <c r="H29" i="11" s="1" a="1"/>
  <c r="H29" i="11" s="1"/>
  <c r="I144" i="17"/>
  <c r="I46" i="17"/>
  <c r="E18" i="11" l="1" a="1"/>
  <c r="E18" i="11" s="1"/>
  <c r="C18" i="11" a="1"/>
  <c r="C18" i="11" s="1"/>
  <c r="H18" i="11" a="1"/>
  <c r="H18" i="11" s="1"/>
  <c r="G18" i="11" a="1"/>
  <c r="G18" i="11" s="1"/>
  <c r="D18" i="11" a="1"/>
  <c r="D18" i="11" s="1"/>
  <c r="I145" i="17"/>
  <c r="I17" i="11"/>
  <c r="B28" i="30"/>
  <c r="B58" i="21"/>
  <c r="B17" i="21"/>
  <c r="B23" i="27"/>
  <c r="B147" i="17"/>
  <c r="B106" i="17"/>
  <c r="B65" i="17"/>
  <c r="B24" i="17"/>
  <c r="B189" i="17"/>
  <c r="C27" i="30"/>
  <c r="I47" i="17"/>
  <c r="I18" i="11" l="1"/>
  <c r="C30" i="11" a="1"/>
  <c r="C30" i="11" s="1"/>
  <c r="G30" i="11" a="1"/>
  <c r="G30" i="11" s="1"/>
  <c r="B29" i="30"/>
  <c r="B59" i="21"/>
  <c r="B18" i="21"/>
  <c r="B24" i="27"/>
  <c r="B148" i="17"/>
  <c r="B107" i="17"/>
  <c r="B66" i="17"/>
  <c r="B25" i="17"/>
  <c r="B190" i="17"/>
  <c r="C28" i="30"/>
  <c r="I48" i="17"/>
  <c r="B30" i="30" l="1"/>
  <c r="B60" i="21"/>
  <c r="B19" i="21"/>
  <c r="B25" i="27"/>
  <c r="B149" i="17"/>
  <c r="B108" i="17"/>
  <c r="B67" i="17"/>
  <c r="B26" i="17"/>
  <c r="B191" i="17"/>
  <c r="C29" i="30"/>
  <c r="I49" i="17"/>
  <c r="I50" i="17"/>
  <c r="B31" i="30" l="1"/>
  <c r="B61" i="21"/>
  <c r="B20" i="21"/>
  <c r="B26" i="27"/>
  <c r="B150" i="17"/>
  <c r="B109" i="17"/>
  <c r="B68" i="17"/>
  <c r="B27" i="17"/>
  <c r="B192" i="17"/>
  <c r="C30" i="30"/>
  <c r="B32" i="30" l="1"/>
  <c r="B62" i="21"/>
  <c r="B21" i="21"/>
  <c r="B27" i="27"/>
  <c r="B151" i="17"/>
  <c r="B110" i="17"/>
  <c r="B28" i="17"/>
  <c r="B69" i="17"/>
  <c r="B193" i="17"/>
  <c r="C31" i="30"/>
  <c r="I51" i="17"/>
  <c r="B33" i="30" l="1"/>
  <c r="B63" i="21"/>
  <c r="B22" i="21"/>
  <c r="B152" i="17"/>
  <c r="B28" i="27"/>
  <c r="B111" i="17"/>
  <c r="B194" i="17"/>
  <c r="B29" i="17"/>
  <c r="B70" i="17"/>
  <c r="C32" i="30"/>
  <c r="B34" i="30" l="1"/>
  <c r="B64" i="21"/>
  <c r="B23" i="21"/>
  <c r="B29" i="27"/>
  <c r="B153" i="17"/>
  <c r="B112" i="17"/>
  <c r="B71" i="17"/>
  <c r="B30" i="17"/>
  <c r="B195" i="17"/>
  <c r="C33" i="30"/>
  <c r="F53" i="17"/>
  <c r="H53" i="17"/>
  <c r="G53" i="17"/>
  <c r="E53" i="17"/>
  <c r="D53" i="17"/>
  <c r="B35" i="30" l="1"/>
  <c r="B65" i="21"/>
  <c r="B24" i="21"/>
  <c r="B30" i="27"/>
  <c r="B154" i="17"/>
  <c r="B113" i="17"/>
  <c r="B72" i="17"/>
  <c r="B31" i="17"/>
  <c r="B196" i="17"/>
  <c r="C34" i="30"/>
  <c r="I53" i="17"/>
  <c r="B36" i="30" l="1"/>
  <c r="B66" i="21"/>
  <c r="B25" i="21"/>
  <c r="B31" i="27"/>
  <c r="B155" i="17"/>
  <c r="B114" i="17"/>
  <c r="B73" i="17"/>
  <c r="B32" i="17"/>
  <c r="B197" i="17"/>
  <c r="C35" i="30"/>
  <c r="B96" i="21"/>
  <c r="B37" i="30" l="1"/>
  <c r="B67" i="21"/>
  <c r="B26" i="21"/>
  <c r="B32" i="27"/>
  <c r="B156" i="17"/>
  <c r="B115" i="17"/>
  <c r="B74" i="17"/>
  <c r="B33" i="17"/>
  <c r="B198" i="17"/>
  <c r="C36" i="30"/>
  <c r="B97" i="21"/>
  <c r="D96" i="21"/>
  <c r="C96" i="21"/>
  <c r="G85" i="33"/>
  <c r="H85" i="33" s="1"/>
  <c r="E85" i="33"/>
  <c r="F85" i="33" s="1"/>
  <c r="G84" i="33"/>
  <c r="H84" i="33" s="1"/>
  <c r="E84" i="33"/>
  <c r="F84" i="33" s="1"/>
  <c r="G83" i="33"/>
  <c r="H83" i="33" s="1"/>
  <c r="E83" i="33"/>
  <c r="F83" i="33" s="1"/>
  <c r="G82" i="33"/>
  <c r="H82" i="33" s="1"/>
  <c r="E82" i="33"/>
  <c r="F82" i="33" s="1"/>
  <c r="G81" i="33"/>
  <c r="H81" i="33" s="1"/>
  <c r="E81" i="33"/>
  <c r="F81" i="33" s="1"/>
  <c r="G80" i="33"/>
  <c r="H80" i="33" s="1"/>
  <c r="E80" i="33"/>
  <c r="F80" i="33" s="1"/>
  <c r="G79" i="33"/>
  <c r="H79" i="33" s="1"/>
  <c r="E79" i="33"/>
  <c r="F79" i="33" s="1"/>
  <c r="G78" i="33"/>
  <c r="H78" i="33" s="1"/>
  <c r="E78" i="33"/>
  <c r="F78" i="33" s="1"/>
  <c r="G77" i="33"/>
  <c r="H77" i="33" s="1"/>
  <c r="E77" i="33"/>
  <c r="F77" i="33" s="1"/>
  <c r="G76" i="33"/>
  <c r="H76" i="33" s="1"/>
  <c r="E76" i="33"/>
  <c r="F76" i="33" s="1"/>
  <c r="G75" i="33"/>
  <c r="H75" i="33" s="1"/>
  <c r="E75" i="33"/>
  <c r="F75" i="33" s="1"/>
  <c r="G74" i="33"/>
  <c r="H74" i="33" s="1"/>
  <c r="E74" i="33"/>
  <c r="F74" i="33" s="1"/>
  <c r="G73" i="33"/>
  <c r="H73" i="33" s="1"/>
  <c r="E73" i="33"/>
  <c r="F73" i="33" s="1"/>
  <c r="G72" i="33"/>
  <c r="H72" i="33" s="1"/>
  <c r="E72" i="33"/>
  <c r="F72" i="33" s="1"/>
  <c r="G71" i="33"/>
  <c r="H71" i="33" s="1"/>
  <c r="E71" i="33"/>
  <c r="F71" i="33" s="1"/>
  <c r="H66" i="33"/>
  <c r="G22" i="6" s="1" a="1"/>
  <c r="G22" i="6" s="1"/>
  <c r="G66" i="33"/>
  <c r="F66" i="33"/>
  <c r="F22" i="6" s="1" a="1"/>
  <c r="F22" i="6" s="1"/>
  <c r="E66" i="33"/>
  <c r="E22" i="6" s="1" a="1"/>
  <c r="E22" i="6" s="1"/>
  <c r="D66" i="33"/>
  <c r="D22" i="6" s="1" a="1"/>
  <c r="D22" i="6" s="1"/>
  <c r="C66" i="33"/>
  <c r="C22" i="6" s="1" a="1"/>
  <c r="C22" i="6" s="1"/>
  <c r="G45" i="33"/>
  <c r="H45" i="33" s="1"/>
  <c r="E45" i="33"/>
  <c r="F45" i="33" s="1"/>
  <c r="G44" i="33"/>
  <c r="H44" i="33" s="1"/>
  <c r="E44" i="33"/>
  <c r="F44" i="33" s="1"/>
  <c r="G43" i="33"/>
  <c r="H43" i="33" s="1"/>
  <c r="E43" i="33"/>
  <c r="F43" i="33" s="1"/>
  <c r="G42" i="33"/>
  <c r="H42" i="33" s="1"/>
  <c r="E42" i="33"/>
  <c r="F42" i="33" s="1"/>
  <c r="G41" i="33"/>
  <c r="H41" i="33" s="1"/>
  <c r="E41" i="33"/>
  <c r="F41" i="33" s="1"/>
  <c r="G40" i="33"/>
  <c r="H40" i="33" s="1"/>
  <c r="E40" i="33"/>
  <c r="F40" i="33" s="1"/>
  <c r="G39" i="33"/>
  <c r="H39" i="33" s="1"/>
  <c r="E39" i="33"/>
  <c r="F39" i="33" s="1"/>
  <c r="G38" i="33"/>
  <c r="H38" i="33" s="1"/>
  <c r="E38" i="33"/>
  <c r="F38" i="33" s="1"/>
  <c r="G37" i="33"/>
  <c r="H37" i="33" s="1"/>
  <c r="E37" i="33"/>
  <c r="F37" i="33" s="1"/>
  <c r="G36" i="33"/>
  <c r="H36" i="33" s="1"/>
  <c r="E36" i="33"/>
  <c r="F36" i="33" s="1"/>
  <c r="G35" i="33"/>
  <c r="H35" i="33" s="1"/>
  <c r="D95" i="33" s="1"/>
  <c r="F95" i="33" s="1"/>
  <c r="E35" i="33"/>
  <c r="F35" i="33" s="1"/>
  <c r="G34" i="33"/>
  <c r="H34" i="33" s="1"/>
  <c r="E34" i="33"/>
  <c r="F34" i="33" s="1"/>
  <c r="G33" i="33"/>
  <c r="H33" i="33" s="1"/>
  <c r="E33" i="33"/>
  <c r="F33" i="33" s="1"/>
  <c r="G32" i="33"/>
  <c r="H32" i="33" s="1"/>
  <c r="E32" i="33"/>
  <c r="F32" i="33" s="1"/>
  <c r="G31" i="33"/>
  <c r="E31" i="33"/>
  <c r="F31" i="33" s="1"/>
  <c r="H26" i="33"/>
  <c r="G21" i="6" s="1" a="1"/>
  <c r="G21" i="6" s="1"/>
  <c r="G26" i="33"/>
  <c r="F26" i="33"/>
  <c r="F21" i="6" s="1" a="1"/>
  <c r="F21" i="6" s="1"/>
  <c r="E26" i="33"/>
  <c r="E21" i="6" s="1" a="1"/>
  <c r="E21" i="6" s="1"/>
  <c r="D26" i="33"/>
  <c r="D21" i="6" s="1" a="1"/>
  <c r="D21" i="6" s="1"/>
  <c r="C26" i="33"/>
  <c r="C21" i="6" s="1" a="1"/>
  <c r="C21" i="6" s="1"/>
  <c r="E117" i="18"/>
  <c r="F117" i="18" s="1"/>
  <c r="G131" i="18"/>
  <c r="H131" i="18" s="1"/>
  <c r="E131" i="18"/>
  <c r="F131" i="18" s="1"/>
  <c r="G130" i="18"/>
  <c r="H130" i="18" s="1"/>
  <c r="E130" i="18"/>
  <c r="F130" i="18" s="1"/>
  <c r="G129" i="18"/>
  <c r="H129" i="18" s="1"/>
  <c r="E129" i="18"/>
  <c r="F129" i="18" s="1"/>
  <c r="G128" i="18"/>
  <c r="H128" i="18" s="1"/>
  <c r="E128" i="18"/>
  <c r="F128" i="18" s="1"/>
  <c r="G127" i="18"/>
  <c r="H127" i="18" s="1"/>
  <c r="E127" i="18"/>
  <c r="F127" i="18" s="1"/>
  <c r="G126" i="18"/>
  <c r="H126" i="18" s="1"/>
  <c r="E126" i="18"/>
  <c r="F126" i="18" s="1"/>
  <c r="G125" i="18"/>
  <c r="H125" i="18" s="1"/>
  <c r="E125" i="18"/>
  <c r="F125" i="18" s="1"/>
  <c r="G124" i="18"/>
  <c r="H124" i="18" s="1"/>
  <c r="E124" i="18"/>
  <c r="F124" i="18" s="1"/>
  <c r="G123" i="18"/>
  <c r="H123" i="18" s="1"/>
  <c r="E123" i="18"/>
  <c r="F123" i="18" s="1"/>
  <c r="G122" i="18"/>
  <c r="H122" i="18" s="1"/>
  <c r="E122" i="18"/>
  <c r="F122" i="18" s="1"/>
  <c r="G121" i="18"/>
  <c r="H121" i="18" s="1"/>
  <c r="E121" i="18"/>
  <c r="F121" i="18" s="1"/>
  <c r="G120" i="18"/>
  <c r="H120" i="18" s="1"/>
  <c r="E120" i="18"/>
  <c r="F120" i="18" s="1"/>
  <c r="G119" i="18"/>
  <c r="H119" i="18" s="1"/>
  <c r="E119" i="18"/>
  <c r="F119" i="18" s="1"/>
  <c r="G118" i="18"/>
  <c r="H118" i="18" s="1"/>
  <c r="E118" i="18"/>
  <c r="F118" i="18" s="1"/>
  <c r="G117" i="18"/>
  <c r="H117" i="18" s="1"/>
  <c r="G77" i="18"/>
  <c r="H77" i="18" s="1"/>
  <c r="G78" i="18"/>
  <c r="H78" i="18" s="1"/>
  <c r="G79" i="18"/>
  <c r="H79" i="18" s="1"/>
  <c r="G80" i="18"/>
  <c r="H80" i="18" s="1"/>
  <c r="G81" i="18"/>
  <c r="H81" i="18" s="1"/>
  <c r="G82" i="18"/>
  <c r="H82" i="18" s="1"/>
  <c r="G83" i="18"/>
  <c r="H83" i="18" s="1"/>
  <c r="G84" i="18"/>
  <c r="H84" i="18" s="1"/>
  <c r="G85" i="18"/>
  <c r="H85" i="18" s="1"/>
  <c r="G86" i="18"/>
  <c r="H86" i="18" s="1"/>
  <c r="G87" i="18"/>
  <c r="H87" i="18" s="1"/>
  <c r="G88" i="18"/>
  <c r="H88" i="18" s="1"/>
  <c r="G89" i="18"/>
  <c r="H89" i="18" s="1"/>
  <c r="G90" i="18"/>
  <c r="H90" i="18" s="1"/>
  <c r="G91" i="18"/>
  <c r="H91" i="18" s="1"/>
  <c r="E77" i="18"/>
  <c r="F77" i="18" s="1"/>
  <c r="E78" i="18"/>
  <c r="F78" i="18" s="1"/>
  <c r="C138" i="18" s="1"/>
  <c r="E138" i="18" s="1"/>
  <c r="E79" i="18"/>
  <c r="F79" i="18" s="1"/>
  <c r="E80" i="18"/>
  <c r="F80" i="18" s="1"/>
  <c r="E81" i="18"/>
  <c r="F81" i="18" s="1"/>
  <c r="E82" i="18"/>
  <c r="F82" i="18" s="1"/>
  <c r="C142" i="18" s="1"/>
  <c r="E142" i="18" s="1"/>
  <c r="E83" i="18"/>
  <c r="F83" i="18" s="1"/>
  <c r="E84" i="18"/>
  <c r="F84" i="18" s="1"/>
  <c r="C144" i="18" s="1"/>
  <c r="E144" i="18" s="1"/>
  <c r="E85" i="18"/>
  <c r="F85" i="18" s="1"/>
  <c r="E86" i="18"/>
  <c r="F86" i="18" s="1"/>
  <c r="E87" i="18"/>
  <c r="F87" i="18" s="1"/>
  <c r="E88" i="18"/>
  <c r="F88" i="18" s="1"/>
  <c r="E89" i="18"/>
  <c r="F89" i="18" s="1"/>
  <c r="E90" i="18"/>
  <c r="F90" i="18" s="1"/>
  <c r="C150" i="18" s="1"/>
  <c r="E150" i="18" s="1"/>
  <c r="E91" i="18"/>
  <c r="F91" i="18" s="1"/>
  <c r="C93" i="33" l="1"/>
  <c r="E93" i="33" s="1"/>
  <c r="D104" i="33"/>
  <c r="F104" i="33" s="1"/>
  <c r="C105" i="33"/>
  <c r="E105" i="33" s="1"/>
  <c r="C140" i="18"/>
  <c r="E140" i="18" s="1"/>
  <c r="C148" i="18"/>
  <c r="E148" i="18" s="1"/>
  <c r="C146" i="18"/>
  <c r="E146" i="18" s="1"/>
  <c r="D150" i="18"/>
  <c r="F150" i="18" s="1"/>
  <c r="G150" i="18" s="1"/>
  <c r="D147" i="18"/>
  <c r="F147" i="18" s="1"/>
  <c r="B38" i="30"/>
  <c r="B68" i="21"/>
  <c r="B27" i="21"/>
  <c r="B33" i="27"/>
  <c r="B157" i="17"/>
  <c r="B116" i="17"/>
  <c r="B34" i="17"/>
  <c r="B75" i="17"/>
  <c r="B199" i="17"/>
  <c r="C37" i="30"/>
  <c r="C137" i="18"/>
  <c r="E137" i="18" s="1"/>
  <c r="D144" i="18"/>
  <c r="F144" i="18" s="1"/>
  <c r="G144" i="18" s="1"/>
  <c r="D142" i="18"/>
  <c r="F142" i="18" s="1"/>
  <c r="G142" i="18" s="1"/>
  <c r="C141" i="18"/>
  <c r="E141" i="18" s="1"/>
  <c r="C147" i="18"/>
  <c r="E147" i="18" s="1"/>
  <c r="D151" i="18"/>
  <c r="F151" i="18" s="1"/>
  <c r="D145" i="18"/>
  <c r="F145" i="18" s="1"/>
  <c r="D139" i="18"/>
  <c r="F139" i="18" s="1"/>
  <c r="B98" i="21"/>
  <c r="D141" i="18"/>
  <c r="F141" i="18" s="1"/>
  <c r="C149" i="18"/>
  <c r="E149" i="18" s="1"/>
  <c r="D138" i="18"/>
  <c r="F138" i="18" s="1"/>
  <c r="H138" i="18" s="1"/>
  <c r="C100" i="33"/>
  <c r="E100" i="33" s="1"/>
  <c r="D97" i="33"/>
  <c r="F97" i="33" s="1"/>
  <c r="D100" i="33"/>
  <c r="F100" i="33" s="1"/>
  <c r="C96" i="33"/>
  <c r="E96" i="33" s="1"/>
  <c r="C102" i="33"/>
  <c r="E102" i="33" s="1"/>
  <c r="D93" i="33"/>
  <c r="F93" i="33" s="1"/>
  <c r="D102" i="33"/>
  <c r="F102" i="33" s="1"/>
  <c r="G46" i="33"/>
  <c r="C98" i="33"/>
  <c r="E98" i="33" s="1"/>
  <c r="C95" i="33"/>
  <c r="E95" i="33" s="1"/>
  <c r="H95" i="33" s="1"/>
  <c r="D99" i="33"/>
  <c r="F99" i="33" s="1"/>
  <c r="C104" i="33"/>
  <c r="E104" i="33" s="1"/>
  <c r="H31" i="33"/>
  <c r="H46" i="33" s="1"/>
  <c r="C92" i="33"/>
  <c r="E92" i="33" s="1"/>
  <c r="D96" i="33"/>
  <c r="F96" i="33" s="1"/>
  <c r="C101" i="33"/>
  <c r="E101" i="33" s="1"/>
  <c r="D105" i="33"/>
  <c r="F105" i="33" s="1"/>
  <c r="D148" i="18"/>
  <c r="F148" i="18" s="1"/>
  <c r="D149" i="18"/>
  <c r="F149" i="18" s="1"/>
  <c r="D143" i="18"/>
  <c r="F143" i="18" s="1"/>
  <c r="D137" i="18"/>
  <c r="F137" i="18" s="1"/>
  <c r="D146" i="18"/>
  <c r="F146" i="18" s="1"/>
  <c r="D140" i="18"/>
  <c r="F140" i="18" s="1"/>
  <c r="G140" i="18" s="1"/>
  <c r="C139" i="18"/>
  <c r="E139" i="18" s="1"/>
  <c r="C145" i="18"/>
  <c r="E145" i="18" s="1"/>
  <c r="C151" i="18"/>
  <c r="E151" i="18" s="1"/>
  <c r="C94" i="33"/>
  <c r="E94" i="33" s="1"/>
  <c r="D92" i="33"/>
  <c r="F92" i="33" s="1"/>
  <c r="D94" i="33"/>
  <c r="F94" i="33" s="1"/>
  <c r="C97" i="33"/>
  <c r="E97" i="33" s="1"/>
  <c r="C99" i="33"/>
  <c r="E99" i="33" s="1"/>
  <c r="D101" i="33"/>
  <c r="F101" i="33" s="1"/>
  <c r="D103" i="33"/>
  <c r="F103" i="33" s="1"/>
  <c r="F86" i="33"/>
  <c r="C91" i="33"/>
  <c r="F46" i="33"/>
  <c r="D98" i="33"/>
  <c r="F98" i="33" s="1"/>
  <c r="C103" i="33"/>
  <c r="E103" i="33" s="1"/>
  <c r="H86" i="33"/>
  <c r="E46" i="33"/>
  <c r="G86" i="33"/>
  <c r="E86" i="33"/>
  <c r="C143" i="18"/>
  <c r="E143" i="18" s="1"/>
  <c r="E132" i="18"/>
  <c r="G132" i="18"/>
  <c r="E92" i="18"/>
  <c r="G92" i="18"/>
  <c r="H105" i="33" l="1"/>
  <c r="G93" i="33"/>
  <c r="G145" i="18"/>
  <c r="G148" i="18"/>
  <c r="H146" i="18"/>
  <c r="H150" i="18"/>
  <c r="G104" i="33"/>
  <c r="G147" i="18"/>
  <c r="H142" i="18"/>
  <c r="H144" i="18"/>
  <c r="G141" i="18"/>
  <c r="H137" i="18"/>
  <c r="H141" i="18"/>
  <c r="B39" i="30"/>
  <c r="B69" i="21"/>
  <c r="B28" i="21"/>
  <c r="B117" i="17"/>
  <c r="B34" i="27"/>
  <c r="B158" i="17"/>
  <c r="B200" i="17"/>
  <c r="B35" i="17"/>
  <c r="B76" i="17"/>
  <c r="C38" i="30"/>
  <c r="H147" i="18"/>
  <c r="G151" i="18"/>
  <c r="G138" i="18"/>
  <c r="G149" i="18"/>
  <c r="H139" i="18"/>
  <c r="B99" i="21"/>
  <c r="H149" i="18"/>
  <c r="H93" i="33"/>
  <c r="H100" i="33"/>
  <c r="H104" i="33"/>
  <c r="E91" i="33"/>
  <c r="E106" i="33" s="1"/>
  <c r="C106" i="33"/>
  <c r="H148" i="18"/>
  <c r="G146" i="18"/>
  <c r="H92" i="21"/>
  <c r="G92" i="21"/>
  <c r="H143" i="18"/>
  <c r="G100" i="33"/>
  <c r="G137" i="18"/>
  <c r="G102" i="33"/>
  <c r="H97" i="33"/>
  <c r="H92" i="33"/>
  <c r="H98" i="33"/>
  <c r="H96" i="33"/>
  <c r="H102" i="33"/>
  <c r="G94" i="33"/>
  <c r="G96" i="33"/>
  <c r="G92" i="33"/>
  <c r="H103" i="33"/>
  <c r="G98" i="33"/>
  <c r="G101" i="33"/>
  <c r="H99" i="33"/>
  <c r="G105" i="33"/>
  <c r="G95" i="33"/>
  <c r="D91" i="33"/>
  <c r="H145" i="18"/>
  <c r="H151" i="18"/>
  <c r="G139" i="18"/>
  <c r="H140" i="18"/>
  <c r="E152" i="18"/>
  <c r="G143" i="18"/>
  <c r="H94" i="33"/>
  <c r="H101" i="33"/>
  <c r="G99" i="33"/>
  <c r="G103" i="33"/>
  <c r="G97" i="33"/>
  <c r="B40" i="30" l="1"/>
  <c r="B70" i="21"/>
  <c r="B35" i="27"/>
  <c r="B29" i="21"/>
  <c r="B159" i="17"/>
  <c r="B118" i="17"/>
  <c r="B77" i="17"/>
  <c r="B36" i="17"/>
  <c r="B201" i="17"/>
  <c r="C39" i="30"/>
  <c r="B100" i="21"/>
  <c r="F91" i="33"/>
  <c r="G91" i="33" s="1"/>
  <c r="G106" i="33" s="1"/>
  <c r="D106" i="33"/>
  <c r="H93" i="21"/>
  <c r="G93" i="21"/>
  <c r="G152" i="18"/>
  <c r="B41" i="30" l="1"/>
  <c r="B71" i="21"/>
  <c r="B30" i="21"/>
  <c r="B36" i="27"/>
  <c r="B160" i="17"/>
  <c r="B119" i="17"/>
  <c r="B78" i="17"/>
  <c r="B37" i="17"/>
  <c r="B202" i="17"/>
  <c r="C40" i="30"/>
  <c r="B101" i="21"/>
  <c r="F106" i="33"/>
  <c r="H91" i="33"/>
  <c r="H94" i="21"/>
  <c r="G94" i="21"/>
  <c r="H106" i="33" l="1"/>
  <c r="H22" i="6" s="1" a="1"/>
  <c r="H22" i="6" s="1"/>
  <c r="I22" i="6" s="1"/>
  <c r="B42" i="30"/>
  <c r="B72" i="21"/>
  <c r="B31" i="21"/>
  <c r="B37" i="27"/>
  <c r="B161" i="17"/>
  <c r="B120" i="17"/>
  <c r="B79" i="17"/>
  <c r="B38" i="17"/>
  <c r="B203" i="17"/>
  <c r="C41" i="30"/>
  <c r="B102" i="21"/>
  <c r="H95" i="21"/>
  <c r="G95" i="21"/>
  <c r="B43" i="30" l="1"/>
  <c r="B73" i="21"/>
  <c r="B32" i="21"/>
  <c r="B38" i="27"/>
  <c r="B162" i="17"/>
  <c r="B121" i="17"/>
  <c r="B80" i="17"/>
  <c r="B39" i="17"/>
  <c r="B204" i="17"/>
  <c r="C42" i="30"/>
  <c r="B103" i="21"/>
  <c r="B44" i="30" l="1"/>
  <c r="B74" i="21"/>
  <c r="B33" i="21"/>
  <c r="B39" i="27"/>
  <c r="B163" i="17"/>
  <c r="B122" i="17"/>
  <c r="B81" i="17"/>
  <c r="B40" i="17"/>
  <c r="B205" i="17"/>
  <c r="C43" i="30"/>
  <c r="B104" i="21"/>
  <c r="B45" i="30" l="1"/>
  <c r="B75" i="21"/>
  <c r="B34" i="21"/>
  <c r="B40" i="27"/>
  <c r="B164" i="17"/>
  <c r="B123" i="17"/>
  <c r="B206" i="17"/>
  <c r="B41" i="17"/>
  <c r="B82" i="17"/>
  <c r="C44" i="30"/>
  <c r="B105" i="21"/>
  <c r="B46" i="30" l="1"/>
  <c r="B76" i="21"/>
  <c r="B35" i="21"/>
  <c r="B41" i="27"/>
  <c r="B165" i="17"/>
  <c r="B124" i="17"/>
  <c r="B83" i="17"/>
  <c r="B42" i="17"/>
  <c r="B207" i="17"/>
  <c r="C45" i="30"/>
  <c r="B106" i="21"/>
  <c r="B47" i="30" l="1"/>
  <c r="B77" i="21"/>
  <c r="B36" i="21"/>
  <c r="B42" i="27"/>
  <c r="B166" i="17"/>
  <c r="B125" i="17"/>
  <c r="B43" i="17"/>
  <c r="B84" i="17"/>
  <c r="B208" i="17"/>
  <c r="C46" i="30"/>
  <c r="B107" i="21"/>
  <c r="B48" i="30" l="1"/>
  <c r="B78" i="21"/>
  <c r="B37" i="21"/>
  <c r="B43" i="27"/>
  <c r="B167" i="17"/>
  <c r="B126" i="17"/>
  <c r="B44" i="17"/>
  <c r="B85" i="17"/>
  <c r="B209" i="17"/>
  <c r="C47" i="30"/>
  <c r="B108" i="21"/>
  <c r="B49" i="30" l="1"/>
  <c r="B79" i="21"/>
  <c r="B38" i="21"/>
  <c r="B44" i="27"/>
  <c r="B168" i="17"/>
  <c r="B127" i="17"/>
  <c r="B86" i="17"/>
  <c r="B45" i="17"/>
  <c r="B210" i="17"/>
  <c r="C48" i="30"/>
  <c r="B109" i="21"/>
  <c r="B50" i="30" l="1"/>
  <c r="B80" i="21"/>
  <c r="B39" i="21"/>
  <c r="B45" i="27"/>
  <c r="B169" i="17"/>
  <c r="B128" i="17"/>
  <c r="B87" i="17"/>
  <c r="B46" i="17"/>
  <c r="B211" i="17"/>
  <c r="C49" i="30"/>
  <c r="B110" i="21"/>
  <c r="B51" i="30" l="1"/>
  <c r="B81" i="21"/>
  <c r="B40" i="21"/>
  <c r="B46" i="27"/>
  <c r="B170" i="17"/>
  <c r="B129" i="17"/>
  <c r="B212" i="17"/>
  <c r="B88" i="17"/>
  <c r="B47" i="17"/>
  <c r="C50" i="30"/>
  <c r="B111" i="21"/>
  <c r="B52" i="30" l="1"/>
  <c r="B82" i="21"/>
  <c r="B130" i="17"/>
  <c r="B41" i="21"/>
  <c r="B47" i="27"/>
  <c r="B171" i="17"/>
  <c r="B89" i="17"/>
  <c r="B48" i="17"/>
  <c r="B213" i="17"/>
  <c r="C51" i="30"/>
  <c r="B112" i="21"/>
  <c r="B53" i="30" l="1"/>
  <c r="B83" i="21"/>
  <c r="B42" i="21"/>
  <c r="B48" i="27"/>
  <c r="B172" i="17"/>
  <c r="B131" i="17"/>
  <c r="B49" i="17"/>
  <c r="B90" i="17"/>
  <c r="B214" i="17"/>
  <c r="C52" i="30"/>
  <c r="B113" i="21"/>
  <c r="B54" i="30" l="1"/>
  <c r="B84" i="21"/>
  <c r="B43" i="21"/>
  <c r="B49" i="27"/>
  <c r="B173" i="17"/>
  <c r="B132" i="17"/>
  <c r="B50" i="17"/>
  <c r="B91" i="17"/>
  <c r="B215" i="17"/>
  <c r="C53" i="30"/>
  <c r="B114" i="21"/>
  <c r="B55" i="30" l="1"/>
  <c r="B85" i="21"/>
  <c r="B44" i="21"/>
  <c r="B50" i="27"/>
  <c r="B174" i="17"/>
  <c r="B133" i="17"/>
  <c r="B51" i="17"/>
  <c r="B92" i="17"/>
  <c r="B216" i="17"/>
  <c r="C54" i="30"/>
  <c r="B115" i="21"/>
  <c r="B86" i="21" l="1"/>
  <c r="B45" i="21"/>
  <c r="B51" i="27"/>
  <c r="B175" i="17"/>
  <c r="B134" i="17"/>
  <c r="B52" i="17"/>
  <c r="B93" i="17"/>
  <c r="B217" i="17"/>
  <c r="C55" i="30"/>
  <c r="B116" i="21"/>
  <c r="D34" i="11" l="1" a="1"/>
  <c r="D34" i="11" s="1"/>
  <c r="G34" i="11" a="1"/>
  <c r="G34" i="11" s="1"/>
  <c r="E34" i="11" a="1"/>
  <c r="E34" i="11" s="1"/>
  <c r="F34" i="11" a="1"/>
  <c r="F34" i="11" s="1"/>
  <c r="H34" i="11" a="1"/>
  <c r="H34" i="11" s="1"/>
  <c r="C34" i="11" a="1"/>
  <c r="C34" i="11" s="1"/>
  <c r="C22" i="11" a="1"/>
  <c r="C22" i="11" s="1"/>
  <c r="D22" i="11" a="1"/>
  <c r="D22" i="11" s="1"/>
  <c r="H22" i="11" a="1"/>
  <c r="H22" i="11" s="1"/>
  <c r="G22" i="11" a="1"/>
  <c r="G22" i="11" s="1"/>
  <c r="E22" i="11" a="1"/>
  <c r="E22" i="11" s="1"/>
  <c r="F22" i="11" a="1"/>
  <c r="F22" i="11" s="1"/>
  <c r="B117" i="21"/>
  <c r="I22" i="11" l="1"/>
  <c r="B118" i="21"/>
  <c r="B119" i="21" l="1"/>
  <c r="B120" i="21" l="1"/>
  <c r="B121" i="21" l="1"/>
  <c r="B122" i="21" l="1"/>
  <c r="B123" i="21" s="1"/>
  <c r="B124" i="21" s="1"/>
  <c r="B125" i="21" s="1"/>
  <c r="B126" i="21" s="1"/>
  <c r="B127" i="21" s="1"/>
  <c r="H112" i="18" l="1"/>
  <c r="F112" i="18"/>
  <c r="D112" i="18"/>
  <c r="E112" i="18"/>
  <c r="G112" i="18"/>
  <c r="C112" i="18"/>
  <c r="F32" i="18"/>
  <c r="F72" i="18"/>
  <c r="H72" i="18"/>
  <c r="D72" i="18"/>
  <c r="E72" i="18"/>
  <c r="G72" i="18"/>
  <c r="C72" i="18"/>
  <c r="H32" i="18"/>
  <c r="G37" i="18"/>
  <c r="H37" i="18" s="1"/>
  <c r="G38" i="18"/>
  <c r="H38" i="18" s="1"/>
  <c r="G39" i="18"/>
  <c r="H39" i="18" s="1"/>
  <c r="G40" i="18"/>
  <c r="H40" i="18" s="1"/>
  <c r="G41" i="18"/>
  <c r="H41" i="18" s="1"/>
  <c r="G42" i="18"/>
  <c r="H42" i="18" s="1"/>
  <c r="G43" i="18"/>
  <c r="H43" i="18" s="1"/>
  <c r="G44" i="18"/>
  <c r="H44" i="18" s="1"/>
  <c r="G45" i="18"/>
  <c r="H45" i="18" s="1"/>
  <c r="G46" i="18"/>
  <c r="H46" i="18" s="1"/>
  <c r="G47" i="18"/>
  <c r="H47" i="18" s="1"/>
  <c r="G48" i="18"/>
  <c r="H48" i="18" s="1"/>
  <c r="G49" i="18"/>
  <c r="H49" i="18" s="1"/>
  <c r="G50" i="18"/>
  <c r="H50" i="18" s="1"/>
  <c r="G51" i="18"/>
  <c r="H51" i="18" s="1"/>
  <c r="E37" i="18"/>
  <c r="F37" i="18" s="1"/>
  <c r="E38" i="18"/>
  <c r="F38" i="18" s="1"/>
  <c r="E39" i="18"/>
  <c r="F39" i="18" s="1"/>
  <c r="E40" i="18"/>
  <c r="F40" i="18" s="1"/>
  <c r="E41" i="18"/>
  <c r="F41" i="18" s="1"/>
  <c r="E42" i="18"/>
  <c r="F42" i="18" s="1"/>
  <c r="E43" i="18"/>
  <c r="F43" i="18" s="1"/>
  <c r="E44" i="18"/>
  <c r="F44" i="18" s="1"/>
  <c r="E45" i="18"/>
  <c r="F45" i="18" s="1"/>
  <c r="E46" i="18"/>
  <c r="F46" i="18" s="1"/>
  <c r="E47" i="18"/>
  <c r="F47" i="18" s="1"/>
  <c r="E48" i="18"/>
  <c r="F48" i="18" s="1"/>
  <c r="E49" i="18"/>
  <c r="F49" i="18" s="1"/>
  <c r="E50" i="18"/>
  <c r="F50" i="18" s="1"/>
  <c r="E51" i="18"/>
  <c r="F51" i="18" s="1"/>
  <c r="D32" i="18"/>
  <c r="E32" i="18"/>
  <c r="G32" i="18"/>
  <c r="C32" i="18"/>
  <c r="D15" i="6" l="1" a="1"/>
  <c r="D15" i="6" s="1"/>
  <c r="D27" i="6" s="1"/>
  <c r="D10" i="21" s="1" a="1"/>
  <c r="D10" i="21" s="1"/>
  <c r="D14" i="21" a="1"/>
  <c r="D14" i="21" s="1"/>
  <c r="G15" i="6" a="1"/>
  <c r="G15" i="6" s="1"/>
  <c r="G27" i="6" s="1"/>
  <c r="H10" i="21" s="1" a="1"/>
  <c r="H10" i="21" s="1"/>
  <c r="H14" i="21" a="1"/>
  <c r="H14" i="21" s="1"/>
  <c r="F15" i="6" a="1"/>
  <c r="F15" i="6" s="1"/>
  <c r="F27" i="6" s="1"/>
  <c r="F13" i="21" s="1" a="1"/>
  <c r="F13" i="21" s="1"/>
  <c r="C15" i="6" a="1"/>
  <c r="C15" i="6" s="1"/>
  <c r="C27" i="6" s="1"/>
  <c r="C10" i="21" s="1" a="1"/>
  <c r="C10" i="21" s="1"/>
  <c r="G14" i="21" a="1"/>
  <c r="G14" i="21" s="1"/>
  <c r="G12" i="21" a="1"/>
  <c r="G12" i="21" s="1"/>
  <c r="G10" i="21" a="1"/>
  <c r="G10" i="21" s="1"/>
  <c r="G11" i="21" a="1"/>
  <c r="G11" i="21" s="1"/>
  <c r="G13" i="21" a="1"/>
  <c r="G13" i="21" s="1"/>
  <c r="G15" i="21" a="1"/>
  <c r="G15" i="21" s="1"/>
  <c r="G16" i="21" a="1"/>
  <c r="G16" i="21" s="1"/>
  <c r="G17" i="21" a="1"/>
  <c r="G17" i="21" s="1"/>
  <c r="G18" i="21" a="1"/>
  <c r="G18" i="21" s="1"/>
  <c r="G19" i="21" a="1"/>
  <c r="G19" i="21" s="1"/>
  <c r="G20" i="21" a="1"/>
  <c r="G20" i="21" s="1"/>
  <c r="G21" i="21" a="1"/>
  <c r="G21" i="21" s="1"/>
  <c r="G22" i="21" a="1"/>
  <c r="G22" i="21" s="1"/>
  <c r="G23" i="21" a="1"/>
  <c r="G23" i="21" s="1"/>
  <c r="G24" i="21" a="1"/>
  <c r="G24" i="21" s="1"/>
  <c r="G25" i="21" a="1"/>
  <c r="G25" i="21" s="1"/>
  <c r="G26" i="21" a="1"/>
  <c r="G26" i="21" s="1"/>
  <c r="G27" i="21" a="1"/>
  <c r="G27" i="21" s="1"/>
  <c r="G28" i="21" a="1"/>
  <c r="G28" i="21" s="1"/>
  <c r="G29" i="21" a="1"/>
  <c r="G29" i="21" s="1"/>
  <c r="G30" i="21" a="1"/>
  <c r="G30" i="21" s="1"/>
  <c r="G31" i="21" a="1"/>
  <c r="G31" i="21" s="1"/>
  <c r="G32" i="21" a="1"/>
  <c r="G32" i="21" s="1"/>
  <c r="G33" i="21" a="1"/>
  <c r="G33" i="21" s="1"/>
  <c r="G34" i="21" a="1"/>
  <c r="G34" i="21" s="1"/>
  <c r="G35" i="21" a="1"/>
  <c r="G35" i="21" s="1"/>
  <c r="G36" i="21" a="1"/>
  <c r="G36" i="21" s="1"/>
  <c r="G37" i="21" a="1"/>
  <c r="G37" i="21" s="1"/>
  <c r="G38" i="21" a="1"/>
  <c r="G38" i="21" s="1"/>
  <c r="G39" i="21" a="1"/>
  <c r="G39" i="21" s="1"/>
  <c r="G40" i="21" a="1"/>
  <c r="G40" i="21" s="1"/>
  <c r="G41" i="21" a="1"/>
  <c r="G41" i="21" s="1"/>
  <c r="G42" i="21" a="1"/>
  <c r="G42" i="21" s="1"/>
  <c r="G43" i="21" a="1"/>
  <c r="G43" i="21" s="1"/>
  <c r="G44" i="21" a="1"/>
  <c r="G44" i="21" s="1"/>
  <c r="G45" i="21" a="1"/>
  <c r="G45" i="21" s="1"/>
  <c r="E15" i="6" a="1"/>
  <c r="E15" i="6" s="1"/>
  <c r="E27" i="6" s="1"/>
  <c r="E14" i="21" s="1" a="1"/>
  <c r="E14" i="21" s="1"/>
  <c r="F16" i="6" a="1"/>
  <c r="F16" i="6" s="1"/>
  <c r="F28" i="6" s="1"/>
  <c r="F52" i="21" s="1" a="1"/>
  <c r="F52" i="21" s="1"/>
  <c r="G16" i="6" a="1"/>
  <c r="G16" i="6" s="1"/>
  <c r="G28" i="6" s="1"/>
  <c r="H52" i="21" s="1" a="1"/>
  <c r="H52" i="21" s="1"/>
  <c r="G51" i="21" a="1"/>
  <c r="G51" i="21" s="1"/>
  <c r="G52" i="21" a="1"/>
  <c r="G52" i="21" s="1"/>
  <c r="G53" i="21" a="1"/>
  <c r="G53" i="21" s="1"/>
  <c r="G54" i="21" a="1"/>
  <c r="G54" i="21" s="1"/>
  <c r="G55" i="21" a="1"/>
  <c r="G55" i="21" s="1"/>
  <c r="G56" i="21" a="1"/>
  <c r="G56" i="21" s="1"/>
  <c r="G57" i="21" a="1"/>
  <c r="G57" i="21" s="1"/>
  <c r="G59" i="21" a="1"/>
  <c r="G59" i="21" s="1"/>
  <c r="G58" i="21" a="1"/>
  <c r="G58" i="21" s="1"/>
  <c r="G60" i="21" a="1"/>
  <c r="G60" i="21" s="1"/>
  <c r="G61" i="21" a="1"/>
  <c r="G61" i="21" s="1"/>
  <c r="G62" i="21" a="1"/>
  <c r="G62" i="21" s="1"/>
  <c r="G63" i="21" a="1"/>
  <c r="G63" i="21" s="1"/>
  <c r="G64" i="21" a="1"/>
  <c r="G64" i="21" s="1"/>
  <c r="G65" i="21" a="1"/>
  <c r="G65" i="21" s="1"/>
  <c r="G66" i="21" a="1"/>
  <c r="G66" i="21" s="1"/>
  <c r="G67" i="21" a="1"/>
  <c r="G67" i="21" s="1"/>
  <c r="G68" i="21" a="1"/>
  <c r="G68" i="21" s="1"/>
  <c r="G69" i="21" a="1"/>
  <c r="G69" i="21" s="1"/>
  <c r="G70" i="21" a="1"/>
  <c r="G70" i="21" s="1"/>
  <c r="G71" i="21" a="1"/>
  <c r="G71" i="21" s="1"/>
  <c r="G72" i="21" a="1"/>
  <c r="G72" i="21" s="1"/>
  <c r="G73" i="21" a="1"/>
  <c r="G73" i="21" s="1"/>
  <c r="G74" i="21" a="1"/>
  <c r="G74" i="21" s="1"/>
  <c r="G75" i="21" a="1"/>
  <c r="G75" i="21" s="1"/>
  <c r="G76" i="21" a="1"/>
  <c r="G76" i="21" s="1"/>
  <c r="G77" i="21" a="1"/>
  <c r="G77" i="21" s="1"/>
  <c r="G78" i="21" a="1"/>
  <c r="G78" i="21" s="1"/>
  <c r="G79" i="21" a="1"/>
  <c r="G79" i="21" s="1"/>
  <c r="G80" i="21" a="1"/>
  <c r="G80" i="21" s="1"/>
  <c r="G81" i="21" a="1"/>
  <c r="G81" i="21" s="1"/>
  <c r="G82" i="21" a="1"/>
  <c r="G82" i="21" s="1"/>
  <c r="G83" i="21" a="1"/>
  <c r="G83" i="21" s="1"/>
  <c r="G84" i="21" a="1"/>
  <c r="G84" i="21" s="1"/>
  <c r="G85" i="21" a="1"/>
  <c r="G85" i="21" s="1"/>
  <c r="G86" i="21" a="1"/>
  <c r="G86" i="21" s="1"/>
  <c r="C16" i="6" a="1"/>
  <c r="C16" i="6" s="1"/>
  <c r="C28" i="6" s="1"/>
  <c r="C51" i="21" s="1" a="1"/>
  <c r="C51" i="21" s="1"/>
  <c r="E16" i="6" a="1"/>
  <c r="E16" i="6" s="1"/>
  <c r="E28" i="6" s="1"/>
  <c r="E51" i="21" s="1" a="1"/>
  <c r="E51" i="21" s="1"/>
  <c r="D16" i="6" a="1"/>
  <c r="D16" i="6" s="1"/>
  <c r="D28" i="6" s="1"/>
  <c r="D52" i="21" s="1" a="1"/>
  <c r="D52" i="21" s="1"/>
  <c r="H132" i="18"/>
  <c r="F132" i="18"/>
  <c r="H92" i="18"/>
  <c r="F92" i="18"/>
  <c r="F52" i="18"/>
  <c r="G52" i="18"/>
  <c r="H52" i="18"/>
  <c r="E52" i="18"/>
  <c r="D126" i="21" l="1"/>
  <c r="F126" i="21" s="1"/>
  <c r="C126" i="21"/>
  <c r="E126" i="21" s="1"/>
  <c r="D56" i="21" a="1"/>
  <c r="D56" i="21" s="1"/>
  <c r="H41" i="21" a="1"/>
  <c r="H41" i="21" s="1"/>
  <c r="H36" i="21" a="1"/>
  <c r="H36" i="21" s="1"/>
  <c r="D37" i="21" a="1"/>
  <c r="D37" i="21" s="1"/>
  <c r="D34" i="21" a="1"/>
  <c r="D34" i="21" s="1"/>
  <c r="D25" i="21" a="1"/>
  <c r="D25" i="21" s="1"/>
  <c r="D22" i="21" a="1"/>
  <c r="D22" i="21" s="1"/>
  <c r="H56" i="21" a="1"/>
  <c r="H56" i="21" s="1"/>
  <c r="C56" i="21" a="1"/>
  <c r="C56" i="21" s="1"/>
  <c r="C21" i="27" s="1"/>
  <c r="F56" i="21" a="1"/>
  <c r="F56" i="21" s="1"/>
  <c r="E56" i="21" a="1"/>
  <c r="E56" i="21" s="1"/>
  <c r="C20" i="21" a="1"/>
  <c r="C20" i="21" s="1"/>
  <c r="H31" i="21" a="1"/>
  <c r="H31" i="21" s="1"/>
  <c r="D45" i="21" a="1"/>
  <c r="D45" i="21" s="1"/>
  <c r="D33" i="21" a="1"/>
  <c r="D33" i="21" s="1"/>
  <c r="D21" i="21" a="1"/>
  <c r="D21" i="21" s="1"/>
  <c r="C15" i="21" a="1"/>
  <c r="C15" i="21" s="1"/>
  <c r="H30" i="21" a="1"/>
  <c r="H30" i="21" s="1"/>
  <c r="D44" i="21" a="1"/>
  <c r="D44" i="21" s="1"/>
  <c r="D32" i="21" a="1"/>
  <c r="D32" i="21" s="1"/>
  <c r="D20" i="21" a="1"/>
  <c r="D20" i="21" s="1"/>
  <c r="H27" i="21" a="1"/>
  <c r="H27" i="21" s="1"/>
  <c r="D43" i="21" a="1"/>
  <c r="D43" i="21" s="1"/>
  <c r="D31" i="21" a="1"/>
  <c r="D31" i="21" s="1"/>
  <c r="D19" i="21" a="1"/>
  <c r="D19" i="21" s="1"/>
  <c r="F15" i="21" a="1"/>
  <c r="F15" i="21" s="1"/>
  <c r="H25" i="21" a="1"/>
  <c r="H25" i="21" s="1"/>
  <c r="D42" i="21" a="1"/>
  <c r="D42" i="21" s="1"/>
  <c r="D30" i="21" a="1"/>
  <c r="D30" i="21" s="1"/>
  <c r="D18" i="21" a="1"/>
  <c r="D18" i="21" s="1"/>
  <c r="H24" i="21" a="1"/>
  <c r="H24" i="21" s="1"/>
  <c r="D41" i="21" a="1"/>
  <c r="D41" i="21" s="1"/>
  <c r="D29" i="21" a="1"/>
  <c r="D29" i="21" s="1"/>
  <c r="D17" i="21" a="1"/>
  <c r="D17" i="21" s="1"/>
  <c r="H45" i="21" a="1"/>
  <c r="H45" i="21" s="1"/>
  <c r="H21" i="21" a="1"/>
  <c r="H21" i="21" s="1"/>
  <c r="D40" i="21" a="1"/>
  <c r="D40" i="21" s="1"/>
  <c r="D28" i="21" a="1"/>
  <c r="D28" i="21" s="1"/>
  <c r="D11" i="21" a="1"/>
  <c r="D11" i="21" s="1"/>
  <c r="H43" i="21" a="1"/>
  <c r="H43" i="21" s="1"/>
  <c r="H19" i="21" a="1"/>
  <c r="H19" i="21" s="1"/>
  <c r="D39" i="21" a="1"/>
  <c r="D39" i="21" s="1"/>
  <c r="D27" i="21" a="1"/>
  <c r="D27" i="21" s="1"/>
  <c r="D16" i="21" a="1"/>
  <c r="D16" i="21" s="1"/>
  <c r="H42" i="21" a="1"/>
  <c r="H42" i="21" s="1"/>
  <c r="H18" i="21" a="1"/>
  <c r="H18" i="21" s="1"/>
  <c r="D38" i="21" a="1"/>
  <c r="D38" i="21" s="1"/>
  <c r="D26" i="21" a="1"/>
  <c r="D26" i="21" s="1"/>
  <c r="D12" i="21" a="1"/>
  <c r="D12" i="21" s="1"/>
  <c r="H39" i="21" a="1"/>
  <c r="H39" i="21" s="1"/>
  <c r="H11" i="21" a="1"/>
  <c r="H11" i="21" s="1"/>
  <c r="D36" i="21" a="1"/>
  <c r="D36" i="21" s="1"/>
  <c r="D24" i="21" a="1"/>
  <c r="D24" i="21" s="1"/>
  <c r="D13" i="21" a="1"/>
  <c r="D13" i="21" s="1"/>
  <c r="E15" i="21" a="1"/>
  <c r="E15" i="21" s="1"/>
  <c r="H37" i="21" a="1"/>
  <c r="H37" i="21" s="1"/>
  <c r="H15" i="21" a="1"/>
  <c r="H15" i="21" s="1"/>
  <c r="D35" i="21" a="1"/>
  <c r="D35" i="21" s="1"/>
  <c r="D23" i="21" a="1"/>
  <c r="D23" i="21" s="1"/>
  <c r="D15" i="21" a="1"/>
  <c r="D15" i="21" s="1"/>
  <c r="C40" i="21" a="1"/>
  <c r="C40" i="21" s="1"/>
  <c r="C41" i="21" a="1"/>
  <c r="C41" i="21" s="1"/>
  <c r="C35" i="21" a="1"/>
  <c r="C35" i="21" s="1"/>
  <c r="C39" i="21" a="1"/>
  <c r="C39" i="21" s="1"/>
  <c r="C34" i="21" a="1"/>
  <c r="C34" i="21" s="1"/>
  <c r="C33" i="21" a="1"/>
  <c r="C33" i="21" s="1"/>
  <c r="C29" i="21" a="1"/>
  <c r="C29" i="21" s="1"/>
  <c r="C28" i="21" a="1"/>
  <c r="C28" i="21" s="1"/>
  <c r="C27" i="21" a="1"/>
  <c r="C27" i="21" s="1"/>
  <c r="C22" i="21" a="1"/>
  <c r="C22" i="21" s="1"/>
  <c r="H16" i="21" a="1"/>
  <c r="H16" i="21" s="1"/>
  <c r="C45" i="21" a="1"/>
  <c r="C45" i="21" s="1"/>
  <c r="C19" i="21" a="1"/>
  <c r="C19" i="21" s="1"/>
  <c r="H33" i="21" a="1"/>
  <c r="H33" i="21" s="1"/>
  <c r="F41" i="21" a="1"/>
  <c r="F41" i="21" s="1"/>
  <c r="E40" i="21" a="1"/>
  <c r="E40" i="21" s="1"/>
  <c r="C44" i="21" a="1"/>
  <c r="C44" i="21" s="1"/>
  <c r="C38" i="21" a="1"/>
  <c r="C38" i="21" s="1"/>
  <c r="C32" i="21" a="1"/>
  <c r="C32" i="21" s="1"/>
  <c r="C26" i="21" a="1"/>
  <c r="C26" i="21" s="1"/>
  <c r="C11" i="21" a="1"/>
  <c r="C11" i="21" s="1"/>
  <c r="F35" i="21" a="1"/>
  <c r="F35" i="21" s="1"/>
  <c r="E31" i="21" a="1"/>
  <c r="E31" i="21" s="1"/>
  <c r="C43" i="21" a="1"/>
  <c r="C43" i="21" s="1"/>
  <c r="C37" i="21" a="1"/>
  <c r="C37" i="21" s="1"/>
  <c r="C31" i="21" a="1"/>
  <c r="C31" i="21" s="1"/>
  <c r="C25" i="21" a="1"/>
  <c r="C25" i="21" s="1"/>
  <c r="C13" i="21" a="1"/>
  <c r="C13" i="21" s="1"/>
  <c r="F28" i="21" a="1"/>
  <c r="F28" i="21" s="1"/>
  <c r="E21" i="21" a="1"/>
  <c r="E21" i="21" s="1"/>
  <c r="C42" i="21" a="1"/>
  <c r="C42" i="21" s="1"/>
  <c r="C36" i="21" a="1"/>
  <c r="C36" i="21" s="1"/>
  <c r="C30" i="21" a="1"/>
  <c r="C30" i="21" s="1"/>
  <c r="C23" i="21" a="1"/>
  <c r="C23" i="21" s="1"/>
  <c r="C16" i="21" a="1"/>
  <c r="C16" i="21" s="1"/>
  <c r="F20" i="21" a="1"/>
  <c r="F20" i="21" s="1"/>
  <c r="H35" i="21" a="1"/>
  <c r="H35" i="21" s="1"/>
  <c r="H29" i="21" a="1"/>
  <c r="H29" i="21" s="1"/>
  <c r="H23" i="21" a="1"/>
  <c r="H23" i="21" s="1"/>
  <c r="H17" i="21" a="1"/>
  <c r="H17" i="21" s="1"/>
  <c r="H13" i="21" a="1"/>
  <c r="H13" i="21" s="1"/>
  <c r="H40" i="21" a="1"/>
  <c r="H40" i="21" s="1"/>
  <c r="H34" i="21" a="1"/>
  <c r="H34" i="21" s="1"/>
  <c r="H28" i="21" a="1"/>
  <c r="H28" i="21" s="1"/>
  <c r="H22" i="21" a="1"/>
  <c r="H22" i="21" s="1"/>
  <c r="H12" i="21" a="1"/>
  <c r="H12" i="21" s="1"/>
  <c r="H44" i="21" a="1"/>
  <c r="H44" i="21" s="1"/>
  <c r="H38" i="21" a="1"/>
  <c r="H38" i="21" s="1"/>
  <c r="H32" i="21" a="1"/>
  <c r="H32" i="21" s="1"/>
  <c r="H26" i="21" a="1"/>
  <c r="H26" i="21" s="1"/>
  <c r="H20" i="21" a="1"/>
  <c r="H20" i="21" s="1"/>
  <c r="E44" i="21" a="1"/>
  <c r="E44" i="21" s="1"/>
  <c r="E36" i="21" a="1"/>
  <c r="E36" i="21" s="1"/>
  <c r="E27" i="21" a="1"/>
  <c r="E27" i="21" s="1"/>
  <c r="E10" i="21" a="1"/>
  <c r="E10" i="21" s="1"/>
  <c r="F44" i="21" a="1"/>
  <c r="F44" i="21" s="1"/>
  <c r="F38" i="21" a="1"/>
  <c r="F38" i="21" s="1"/>
  <c r="F32" i="21" a="1"/>
  <c r="F32" i="21" s="1"/>
  <c r="F24" i="21" a="1"/>
  <c r="F24" i="21" s="1"/>
  <c r="F11" i="21" a="1"/>
  <c r="F11" i="21" s="1"/>
  <c r="E43" i="21" a="1"/>
  <c r="E43" i="21" s="1"/>
  <c r="E34" i="21" a="1"/>
  <c r="E34" i="21" s="1"/>
  <c r="E25" i="21" a="1"/>
  <c r="E25" i="21" s="1"/>
  <c r="E16" i="21" a="1"/>
  <c r="E16" i="21" s="1"/>
  <c r="F43" i="21" a="1"/>
  <c r="F43" i="21" s="1"/>
  <c r="F37" i="21" a="1"/>
  <c r="F37" i="21" s="1"/>
  <c r="F30" i="21" a="1"/>
  <c r="F30" i="21" s="1"/>
  <c r="F23" i="21" a="1"/>
  <c r="F23" i="21" s="1"/>
  <c r="F10" i="21" a="1"/>
  <c r="F10" i="21" s="1"/>
  <c r="E42" i="21" a="1"/>
  <c r="E42" i="21" s="1"/>
  <c r="E33" i="21" a="1"/>
  <c r="E33" i="21" s="1"/>
  <c r="E22" i="21" a="1"/>
  <c r="E22" i="21" s="1"/>
  <c r="C14" i="21" a="1"/>
  <c r="C14" i="21" s="1"/>
  <c r="F42" i="21" a="1"/>
  <c r="F42" i="21" s="1"/>
  <c r="F36" i="21" a="1"/>
  <c r="F36" i="21" s="1"/>
  <c r="F29" i="21" a="1"/>
  <c r="F29" i="21" s="1"/>
  <c r="F21" i="21" a="1"/>
  <c r="F21" i="21" s="1"/>
  <c r="E39" i="21" a="1"/>
  <c r="E39" i="21" s="1"/>
  <c r="E30" i="21" a="1"/>
  <c r="E30" i="21" s="1"/>
  <c r="E19" i="21" a="1"/>
  <c r="E19" i="21" s="1"/>
  <c r="F40" i="21" a="1"/>
  <c r="F40" i="21" s="1"/>
  <c r="F34" i="21" a="1"/>
  <c r="F34" i="21" s="1"/>
  <c r="F27" i="21" a="1"/>
  <c r="F27" i="21" s="1"/>
  <c r="F18" i="21" a="1"/>
  <c r="F18" i="21" s="1"/>
  <c r="E45" i="21" a="1"/>
  <c r="E45" i="21" s="1"/>
  <c r="E37" i="21" a="1"/>
  <c r="E37" i="21" s="1"/>
  <c r="E28" i="21" a="1"/>
  <c r="E28" i="21" s="1"/>
  <c r="E12" i="21" a="1"/>
  <c r="E12" i="21" s="1"/>
  <c r="F45" i="21" a="1"/>
  <c r="F45" i="21" s="1"/>
  <c r="F39" i="21" a="1"/>
  <c r="F39" i="21" s="1"/>
  <c r="F33" i="21" a="1"/>
  <c r="F33" i="21" s="1"/>
  <c r="F26" i="21" a="1"/>
  <c r="F26" i="21" s="1"/>
  <c r="F17" i="21" a="1"/>
  <c r="F17" i="21" s="1"/>
  <c r="F82" i="21" a="1"/>
  <c r="F82" i="21" s="1"/>
  <c r="C85" i="21" a="1"/>
  <c r="C85" i="21" s="1"/>
  <c r="C50" i="27" s="1"/>
  <c r="C65" i="21" a="1"/>
  <c r="C65" i="21" s="1"/>
  <c r="C30" i="27" s="1"/>
  <c r="F76" i="21" a="1"/>
  <c r="F76" i="21" s="1"/>
  <c r="C17" i="21" a="1"/>
  <c r="C17" i="21" s="1"/>
  <c r="F70" i="21" a="1"/>
  <c r="F70" i="21" s="1"/>
  <c r="F62" i="21" a="1"/>
  <c r="F62" i="21" s="1"/>
  <c r="C21" i="21" a="1"/>
  <c r="C21" i="21" s="1"/>
  <c r="C12" i="21" a="1"/>
  <c r="C12" i="21" s="1"/>
  <c r="F14" i="21" a="1"/>
  <c r="F14" i="21" s="1"/>
  <c r="F81" i="21" a="1"/>
  <c r="F81" i="21" s="1"/>
  <c r="F75" i="21" a="1"/>
  <c r="F75" i="21" s="1"/>
  <c r="F67" i="21" a="1"/>
  <c r="F67" i="21" s="1"/>
  <c r="F58" i="21" a="1"/>
  <c r="F58" i="21" s="1"/>
  <c r="F86" i="21" a="1"/>
  <c r="F86" i="21" s="1"/>
  <c r="F80" i="21" a="1"/>
  <c r="F80" i="21" s="1"/>
  <c r="F74" i="21" a="1"/>
  <c r="F74" i="21" s="1"/>
  <c r="F66" i="21" a="1"/>
  <c r="F66" i="21" s="1"/>
  <c r="F59" i="21" a="1"/>
  <c r="F59" i="21" s="1"/>
  <c r="E38" i="21" a="1"/>
  <c r="E38" i="21" s="1"/>
  <c r="E32" i="21" a="1"/>
  <c r="E32" i="21" s="1"/>
  <c r="E26" i="21" a="1"/>
  <c r="E26" i="21" s="1"/>
  <c r="E20" i="21" a="1"/>
  <c r="E20" i="21" s="1"/>
  <c r="E13" i="21" a="1"/>
  <c r="E13" i="21" s="1"/>
  <c r="G46" i="21"/>
  <c r="G33" i="6" s="1"/>
  <c r="F22" i="21" a="1"/>
  <c r="F22" i="21" s="1"/>
  <c r="F16" i="21" a="1"/>
  <c r="F16" i="21" s="1"/>
  <c r="F85" i="21" a="1"/>
  <c r="F85" i="21" s="1"/>
  <c r="F79" i="21" a="1"/>
  <c r="F79" i="21" s="1"/>
  <c r="F73" i="21" a="1"/>
  <c r="F73" i="21" s="1"/>
  <c r="F65" i="21" a="1"/>
  <c r="F65" i="21" s="1"/>
  <c r="F51" i="21" a="1"/>
  <c r="F51" i="21" s="1"/>
  <c r="F84" i="21" a="1"/>
  <c r="F84" i="21" s="1"/>
  <c r="F78" i="21" a="1"/>
  <c r="F78" i="21" s="1"/>
  <c r="F72" i="21" a="1"/>
  <c r="F72" i="21" s="1"/>
  <c r="F64" i="21" a="1"/>
  <c r="F64" i="21" s="1"/>
  <c r="F55" i="21" a="1"/>
  <c r="F55" i="21" s="1"/>
  <c r="E24" i="21" a="1"/>
  <c r="E24" i="21" s="1"/>
  <c r="E18" i="21" a="1"/>
  <c r="E18" i="21" s="1"/>
  <c r="E11" i="21" a="1"/>
  <c r="E11" i="21" s="1"/>
  <c r="F12" i="21" a="1"/>
  <c r="F12" i="21" s="1"/>
  <c r="E76" i="21" a="1"/>
  <c r="E76" i="21" s="1"/>
  <c r="F83" i="21" a="1"/>
  <c r="F83" i="21" s="1"/>
  <c r="F77" i="21" a="1"/>
  <c r="F77" i="21" s="1"/>
  <c r="F71" i="21" a="1"/>
  <c r="F71" i="21" s="1"/>
  <c r="F63" i="21" a="1"/>
  <c r="F63" i="21" s="1"/>
  <c r="E41" i="21" a="1"/>
  <c r="E41" i="21" s="1"/>
  <c r="E35" i="21" a="1"/>
  <c r="E35" i="21" s="1"/>
  <c r="E29" i="21" a="1"/>
  <c r="E29" i="21" s="1"/>
  <c r="E23" i="21" a="1"/>
  <c r="E23" i="21" s="1"/>
  <c r="E17" i="21" a="1"/>
  <c r="E17" i="21" s="1"/>
  <c r="C24" i="21" a="1"/>
  <c r="C24" i="21" s="1"/>
  <c r="C18" i="21" a="1"/>
  <c r="C18" i="21" s="1"/>
  <c r="F31" i="21" a="1"/>
  <c r="F31" i="21" s="1"/>
  <c r="F25" i="21" a="1"/>
  <c r="F25" i="21" s="1"/>
  <c r="F19" i="21" a="1"/>
  <c r="F19" i="21" s="1"/>
  <c r="C119" i="21"/>
  <c r="E119" i="21" s="1"/>
  <c r="D119" i="21"/>
  <c r="F119" i="21" s="1"/>
  <c r="D113" i="21"/>
  <c r="F113" i="21" s="1"/>
  <c r="C113" i="21"/>
  <c r="E113" i="21" s="1"/>
  <c r="C107" i="21"/>
  <c r="E107" i="21" s="1"/>
  <c r="D107" i="21"/>
  <c r="F107" i="21" s="1"/>
  <c r="D101" i="21"/>
  <c r="F101" i="21" s="1"/>
  <c r="C101" i="21"/>
  <c r="E101" i="21" s="1"/>
  <c r="E75" i="21" a="1"/>
  <c r="E75" i="21" s="1"/>
  <c r="D124" i="21"/>
  <c r="F124" i="21" s="1"/>
  <c r="C124" i="21"/>
  <c r="E124" i="21" s="1"/>
  <c r="D118" i="21"/>
  <c r="F118" i="21" s="1"/>
  <c r="C118" i="21"/>
  <c r="E118" i="21" s="1"/>
  <c r="D112" i="21"/>
  <c r="F112" i="21" s="1"/>
  <c r="C112" i="21"/>
  <c r="E112" i="21" s="1"/>
  <c r="D106" i="21"/>
  <c r="F106" i="21" s="1"/>
  <c r="C106" i="21"/>
  <c r="E106" i="21" s="1"/>
  <c r="D100" i="21"/>
  <c r="F100" i="21" s="1"/>
  <c r="C100" i="21"/>
  <c r="E100" i="21" s="1"/>
  <c r="E70" i="21" a="1"/>
  <c r="E70" i="21" s="1"/>
  <c r="C123" i="21"/>
  <c r="E123" i="21" s="1"/>
  <c r="D123" i="21"/>
  <c r="F123" i="21" s="1"/>
  <c r="C117" i="21"/>
  <c r="E117" i="21" s="1"/>
  <c r="D117" i="21"/>
  <c r="F117" i="21" s="1"/>
  <c r="C111" i="21"/>
  <c r="E111" i="21" s="1"/>
  <c r="D111" i="21"/>
  <c r="F111" i="21" s="1"/>
  <c r="D105" i="21"/>
  <c r="F105" i="21" s="1"/>
  <c r="C105" i="21"/>
  <c r="E105" i="21" s="1"/>
  <c r="C98" i="21"/>
  <c r="E98" i="21" s="1"/>
  <c r="D98" i="21"/>
  <c r="F98" i="21" s="1"/>
  <c r="D125" i="21"/>
  <c r="F125" i="21" s="1"/>
  <c r="C125" i="21"/>
  <c r="E125" i="21" s="1"/>
  <c r="D122" i="21"/>
  <c r="F122" i="21" s="1"/>
  <c r="C122" i="21"/>
  <c r="E122" i="21" s="1"/>
  <c r="D116" i="21"/>
  <c r="F116" i="21" s="1"/>
  <c r="C116" i="21"/>
  <c r="E116" i="21" s="1"/>
  <c r="D110" i="21"/>
  <c r="F110" i="21" s="1"/>
  <c r="C110" i="21"/>
  <c r="E110" i="21" s="1"/>
  <c r="C104" i="21"/>
  <c r="E104" i="21" s="1"/>
  <c r="D104" i="21"/>
  <c r="F104" i="21" s="1"/>
  <c r="D99" i="21"/>
  <c r="F99" i="21" s="1"/>
  <c r="C99" i="21"/>
  <c r="E99" i="21" s="1"/>
  <c r="C121" i="21"/>
  <c r="E121" i="21" s="1"/>
  <c r="D121" i="21"/>
  <c r="F121" i="21" s="1"/>
  <c r="D115" i="21"/>
  <c r="F115" i="21" s="1"/>
  <c r="C115" i="21"/>
  <c r="E115" i="21" s="1"/>
  <c r="D109" i="21"/>
  <c r="F109" i="21" s="1"/>
  <c r="C109" i="21"/>
  <c r="E109" i="21" s="1"/>
  <c r="C103" i="21"/>
  <c r="E103" i="21" s="1"/>
  <c r="D103" i="21"/>
  <c r="F103" i="21" s="1"/>
  <c r="D97" i="21"/>
  <c r="F97" i="21" s="1"/>
  <c r="C97" i="21"/>
  <c r="E97" i="21" s="1"/>
  <c r="E69" i="21" a="1"/>
  <c r="E69" i="21" s="1"/>
  <c r="E64" i="21" a="1"/>
  <c r="E64" i="21" s="1"/>
  <c r="E82" i="21" a="1"/>
  <c r="E82" i="21" s="1"/>
  <c r="C127" i="21"/>
  <c r="E127" i="21" s="1"/>
  <c r="D127" i="21"/>
  <c r="F127" i="21" s="1"/>
  <c r="D120" i="21"/>
  <c r="F120" i="21" s="1"/>
  <c r="C120" i="21"/>
  <c r="E120" i="21" s="1"/>
  <c r="D114" i="21"/>
  <c r="F114" i="21" s="1"/>
  <c r="C114" i="21"/>
  <c r="E114" i="21" s="1"/>
  <c r="D108" i="21"/>
  <c r="F108" i="21" s="1"/>
  <c r="C108" i="21"/>
  <c r="E108" i="21" s="1"/>
  <c r="C102" i="21"/>
  <c r="E102" i="21" s="1"/>
  <c r="D102" i="21"/>
  <c r="F102" i="21" s="1"/>
  <c r="H82" i="21" a="1"/>
  <c r="H82" i="21" s="1"/>
  <c r="C86" i="21" a="1"/>
  <c r="C86" i="21" s="1"/>
  <c r="C51" i="27" s="1"/>
  <c r="C16" i="27"/>
  <c r="G87" i="21"/>
  <c r="G34" i="6" s="1"/>
  <c r="H81" i="21" a="1"/>
  <c r="H81" i="21" s="1"/>
  <c r="H74" i="21" a="1"/>
  <c r="H74" i="21" s="1"/>
  <c r="H75" i="21" a="1"/>
  <c r="H75" i="21" s="1"/>
  <c r="D82" i="21" a="1"/>
  <c r="D82" i="21" s="1"/>
  <c r="C81" i="21" a="1"/>
  <c r="C81" i="21" s="1"/>
  <c r="C46" i="27" s="1"/>
  <c r="D80" i="21" a="1"/>
  <c r="D80" i="21" s="1"/>
  <c r="E81" i="21" a="1"/>
  <c r="E81" i="21" s="1"/>
  <c r="E53" i="21" a="1"/>
  <c r="E53" i="21" s="1"/>
  <c r="C80" i="21" a="1"/>
  <c r="C80" i="21" s="1"/>
  <c r="C45" i="27" s="1"/>
  <c r="H86" i="21" a="1"/>
  <c r="H86" i="21" s="1"/>
  <c r="H80" i="21" a="1"/>
  <c r="H80" i="21" s="1"/>
  <c r="H73" i="21" a="1"/>
  <c r="H73" i="21" s="1"/>
  <c r="D74" i="21" a="1"/>
  <c r="D74" i="21" s="1"/>
  <c r="C74" i="21" a="1"/>
  <c r="C74" i="21" s="1"/>
  <c r="C39" i="27" s="1"/>
  <c r="H85" i="21" a="1"/>
  <c r="H85" i="21" s="1"/>
  <c r="H79" i="21" a="1"/>
  <c r="H79" i="21" s="1"/>
  <c r="H67" i="21" a="1"/>
  <c r="H67" i="21" s="1"/>
  <c r="D64" i="21" a="1"/>
  <c r="D64" i="21" s="1"/>
  <c r="C73" i="21" a="1"/>
  <c r="C73" i="21" s="1"/>
  <c r="C38" i="27" s="1"/>
  <c r="H84" i="21" a="1"/>
  <c r="H84" i="21" s="1"/>
  <c r="H78" i="21" a="1"/>
  <c r="H78" i="21" s="1"/>
  <c r="H66" i="21" a="1"/>
  <c r="H66" i="21" s="1"/>
  <c r="H83" i="21" a="1"/>
  <c r="H83" i="21" s="1"/>
  <c r="H76" i="21" a="1"/>
  <c r="H76" i="21" s="1"/>
  <c r="D63" i="21" a="1"/>
  <c r="D63" i="21" s="1"/>
  <c r="E63" i="21" a="1"/>
  <c r="E63" i="21" s="1"/>
  <c r="E55" i="21" a="1"/>
  <c r="E55" i="21" s="1"/>
  <c r="C64" i="21" a="1"/>
  <c r="C64" i="21" s="1"/>
  <c r="C29" i="27" s="1"/>
  <c r="D72" i="21" a="1"/>
  <c r="D72" i="21" s="1"/>
  <c r="D86" i="21" a="1"/>
  <c r="D86" i="21" s="1"/>
  <c r="D79" i="21" a="1"/>
  <c r="D79" i="21" s="1"/>
  <c r="D71" i="21" a="1"/>
  <c r="D71" i="21" s="1"/>
  <c r="D60" i="21" a="1"/>
  <c r="D60" i="21" s="1"/>
  <c r="E86" i="21" a="1"/>
  <c r="E86" i="21" s="1"/>
  <c r="E80" i="21" a="1"/>
  <c r="E80" i="21" s="1"/>
  <c r="E74" i="21" a="1"/>
  <c r="E74" i="21" s="1"/>
  <c r="E68" i="21" a="1"/>
  <c r="E68" i="21" s="1"/>
  <c r="E61" i="21" a="1"/>
  <c r="E61" i="21" s="1"/>
  <c r="E57" i="21" a="1"/>
  <c r="E57" i="21" s="1"/>
  <c r="C79" i="21" a="1"/>
  <c r="C79" i="21" s="1"/>
  <c r="C44" i="27" s="1"/>
  <c r="C72" i="21" a="1"/>
  <c r="C72" i="21" s="1"/>
  <c r="C37" i="27" s="1"/>
  <c r="C62" i="21" a="1"/>
  <c r="C62" i="21" s="1"/>
  <c r="C27" i="27" s="1"/>
  <c r="H65" i="21" a="1"/>
  <c r="H65" i="21" s="1"/>
  <c r="D85" i="21" a="1"/>
  <c r="D85" i="21" s="1"/>
  <c r="D78" i="21" a="1"/>
  <c r="D78" i="21" s="1"/>
  <c r="D70" i="21" a="1"/>
  <c r="D70" i="21" s="1"/>
  <c r="D58" i="21" a="1"/>
  <c r="D58" i="21" s="1"/>
  <c r="E85" i="21" a="1"/>
  <c r="E85" i="21" s="1"/>
  <c r="E79" i="21" a="1"/>
  <c r="E79" i="21" s="1"/>
  <c r="E73" i="21" a="1"/>
  <c r="E73" i="21" s="1"/>
  <c r="E67" i="21" a="1"/>
  <c r="E67" i="21" s="1"/>
  <c r="E60" i="21" a="1"/>
  <c r="E60" i="21" s="1"/>
  <c r="E54" i="21" a="1"/>
  <c r="E54" i="21" s="1"/>
  <c r="C84" i="21" a="1"/>
  <c r="C84" i="21" s="1"/>
  <c r="C49" i="27" s="1"/>
  <c r="C78" i="21" a="1"/>
  <c r="C78" i="21" s="1"/>
  <c r="C43" i="27" s="1"/>
  <c r="C70" i="21" a="1"/>
  <c r="C70" i="21" s="1"/>
  <c r="C35" i="27" s="1"/>
  <c r="C60" i="21" a="1"/>
  <c r="C60" i="21" s="1"/>
  <c r="C25" i="27" s="1"/>
  <c r="H70" i="21" a="1"/>
  <c r="H70" i="21" s="1"/>
  <c r="H61" i="21" a="1"/>
  <c r="H61" i="21" s="1"/>
  <c r="D84" i="21" a="1"/>
  <c r="D84" i="21" s="1"/>
  <c r="D76" i="21" a="1"/>
  <c r="D76" i="21" s="1"/>
  <c r="D68" i="21" a="1"/>
  <c r="D68" i="21" s="1"/>
  <c r="D59" i="21" a="1"/>
  <c r="D59" i="21" s="1"/>
  <c r="E84" i="21" a="1"/>
  <c r="E84" i="21" s="1"/>
  <c r="E78" i="21" a="1"/>
  <c r="E78" i="21" s="1"/>
  <c r="E72" i="21" a="1"/>
  <c r="E72" i="21" s="1"/>
  <c r="E66" i="21" a="1"/>
  <c r="E66" i="21" s="1"/>
  <c r="E59" i="21" a="1"/>
  <c r="E59" i="21" s="1"/>
  <c r="E52" i="21" a="1"/>
  <c r="E52" i="21" s="1"/>
  <c r="C83" i="21" a="1"/>
  <c r="C83" i="21" s="1"/>
  <c r="C48" i="27" s="1"/>
  <c r="C77" i="21" a="1"/>
  <c r="C77" i="21" s="1"/>
  <c r="C42" i="27" s="1"/>
  <c r="C69" i="21" a="1"/>
  <c r="C69" i="21" s="1"/>
  <c r="C34" i="27" s="1"/>
  <c r="H77" i="21" a="1"/>
  <c r="H77" i="21" s="1"/>
  <c r="H69" i="21" a="1"/>
  <c r="H69" i="21" s="1"/>
  <c r="H54" i="21" a="1"/>
  <c r="H54" i="21" s="1"/>
  <c r="D83" i="21" a="1"/>
  <c r="D83" i="21" s="1"/>
  <c r="D75" i="21" a="1"/>
  <c r="D75" i="21" s="1"/>
  <c r="D66" i="21" a="1"/>
  <c r="D66" i="21" s="1"/>
  <c r="D51" i="21" a="1"/>
  <c r="D51" i="21" s="1"/>
  <c r="E83" i="21" a="1"/>
  <c r="E83" i="21" s="1"/>
  <c r="E77" i="21" a="1"/>
  <c r="E77" i="21" s="1"/>
  <c r="E71" i="21" a="1"/>
  <c r="E71" i="21" s="1"/>
  <c r="E65" i="21" a="1"/>
  <c r="E65" i="21" s="1"/>
  <c r="E58" i="21" a="1"/>
  <c r="E58" i="21" s="1"/>
  <c r="C82" i="21" a="1"/>
  <c r="C82" i="21" s="1"/>
  <c r="C47" i="27" s="1"/>
  <c r="C76" i="21" a="1"/>
  <c r="C76" i="21" s="1"/>
  <c r="C41" i="27" s="1"/>
  <c r="C68" i="21" a="1"/>
  <c r="C68" i="21" s="1"/>
  <c r="C33" i="27" s="1"/>
  <c r="C55" i="21" a="1"/>
  <c r="C55" i="21" s="1"/>
  <c r="C20" i="27" s="1"/>
  <c r="H68" i="21" a="1"/>
  <c r="H68" i="21" s="1"/>
  <c r="C52" i="21" a="1"/>
  <c r="C52" i="21" s="1"/>
  <c r="C17" i="27" s="1"/>
  <c r="D62" i="21" a="1"/>
  <c r="D62" i="21" s="1"/>
  <c r="C61" i="21" a="1"/>
  <c r="C61" i="21" s="1"/>
  <c r="C26" i="27" s="1"/>
  <c r="H62" i="21" a="1"/>
  <c r="H62" i="21" s="1"/>
  <c r="C59" i="21" a="1"/>
  <c r="C59" i="21" s="1"/>
  <c r="C24" i="27" s="1"/>
  <c r="H58" i="21" a="1"/>
  <c r="H58" i="21" s="1"/>
  <c r="C57" i="21" a="1"/>
  <c r="C57" i="21" s="1"/>
  <c r="C22" i="27" s="1"/>
  <c r="H59" i="21" a="1"/>
  <c r="H59" i="21" s="1"/>
  <c r="D67" i="21" a="1"/>
  <c r="D67" i="21" s="1"/>
  <c r="D54" i="21" a="1"/>
  <c r="D54" i="21" s="1"/>
  <c r="C66" i="21" a="1"/>
  <c r="C66" i="21" s="1"/>
  <c r="C31" i="27" s="1"/>
  <c r="H55" i="21" a="1"/>
  <c r="H55" i="21" s="1"/>
  <c r="D81" i="21" a="1"/>
  <c r="D81" i="21" s="1"/>
  <c r="D73" i="21" a="1"/>
  <c r="D73" i="21" s="1"/>
  <c r="D65" i="21" a="1"/>
  <c r="D65" i="21" s="1"/>
  <c r="D57" i="21" a="1"/>
  <c r="D57" i="21" s="1"/>
  <c r="E62" i="21" a="1"/>
  <c r="E62" i="21" s="1"/>
  <c r="C75" i="21" a="1"/>
  <c r="C75" i="21" s="1"/>
  <c r="C40" i="27" s="1"/>
  <c r="C67" i="21" a="1"/>
  <c r="C67" i="21" s="1"/>
  <c r="C32" i="27" s="1"/>
  <c r="C58" i="21" a="1"/>
  <c r="C58" i="21" s="1"/>
  <c r="C23" i="27" s="1"/>
  <c r="C54" i="21" a="1"/>
  <c r="C54" i="21" s="1"/>
  <c r="C19" i="27" s="1"/>
  <c r="E96" i="21"/>
  <c r="F96" i="21"/>
  <c r="H60" i="21" a="1"/>
  <c r="H60" i="21" s="1"/>
  <c r="H51" i="21" a="1"/>
  <c r="H51" i="21" s="1"/>
  <c r="F57" i="21" a="1"/>
  <c r="F57" i="21" s="1"/>
  <c r="D55" i="21" a="1"/>
  <c r="D55" i="21" s="1"/>
  <c r="F53" i="21" a="1"/>
  <c r="F53" i="21" s="1"/>
  <c r="D77" i="21" a="1"/>
  <c r="D77" i="21" s="1"/>
  <c r="D69" i="21" a="1"/>
  <c r="D69" i="21" s="1"/>
  <c r="D61" i="21" a="1"/>
  <c r="D61" i="21" s="1"/>
  <c r="D53" i="21" a="1"/>
  <c r="D53" i="21" s="1"/>
  <c r="C71" i="21" a="1"/>
  <c r="C71" i="21" s="1"/>
  <c r="C36" i="27" s="1"/>
  <c r="C63" i="21" a="1"/>
  <c r="C63" i="21" s="1"/>
  <c r="C28" i="27" s="1"/>
  <c r="C53" i="21" a="1"/>
  <c r="C53" i="21" s="1"/>
  <c r="H72" i="21" a="1"/>
  <c r="H72" i="21" s="1"/>
  <c r="H64" i="21" a="1"/>
  <c r="H64" i="21" s="1"/>
  <c r="H53" i="21" a="1"/>
  <c r="H53" i="21" s="1"/>
  <c r="F69" i="21" a="1"/>
  <c r="F69" i="21" s="1"/>
  <c r="F61" i="21" a="1"/>
  <c r="F61" i="21" s="1"/>
  <c r="F54" i="21" a="1"/>
  <c r="F54" i="21" s="1"/>
  <c r="H71" i="21" a="1"/>
  <c r="H71" i="21" s="1"/>
  <c r="H63" i="21" a="1"/>
  <c r="H63" i="21" s="1"/>
  <c r="H57" i="21" a="1"/>
  <c r="H57" i="21" s="1"/>
  <c r="F68" i="21" a="1"/>
  <c r="F68" i="21" s="1"/>
  <c r="F60" i="21" a="1"/>
  <c r="F60" i="21" s="1"/>
  <c r="F152" i="18"/>
  <c r="H152" i="18"/>
  <c r="G188" i="17"/>
  <c r="G126" i="21" l="1"/>
  <c r="H126" i="21"/>
  <c r="D46" i="21"/>
  <c r="D33" i="6" s="1"/>
  <c r="H46" i="21"/>
  <c r="G35" i="6"/>
  <c r="C46" i="21"/>
  <c r="C33" i="6" s="1"/>
  <c r="F46" i="21"/>
  <c r="F33" i="6" s="1"/>
  <c r="E46" i="21"/>
  <c r="E33" i="6" s="1"/>
  <c r="H16" i="6" a="1"/>
  <c r="H16" i="6" s="1"/>
  <c r="E87" i="21"/>
  <c r="E34" i="6" s="1"/>
  <c r="H87" i="21"/>
  <c r="F87" i="21"/>
  <c r="F34" i="6" s="1"/>
  <c r="D87" i="21"/>
  <c r="D34" i="6" s="1"/>
  <c r="C87" i="21"/>
  <c r="C34" i="6" s="1"/>
  <c r="C18" i="27"/>
  <c r="H113" i="21"/>
  <c r="G113" i="21"/>
  <c r="G118" i="21"/>
  <c r="H118" i="21"/>
  <c r="G104" i="21"/>
  <c r="H104" i="21"/>
  <c r="G114" i="21"/>
  <c r="H114" i="21"/>
  <c r="G123" i="21"/>
  <c r="H123" i="21"/>
  <c r="G100" i="21"/>
  <c r="H100" i="21"/>
  <c r="H125" i="21"/>
  <c r="G125" i="21"/>
  <c r="G119" i="21"/>
  <c r="H119" i="21"/>
  <c r="H101" i="21"/>
  <c r="G101" i="21"/>
  <c r="G127" i="21"/>
  <c r="H127" i="21"/>
  <c r="H112" i="21"/>
  <c r="G112" i="21"/>
  <c r="H121" i="21"/>
  <c r="G121" i="21"/>
  <c r="H122" i="21"/>
  <c r="G122" i="21"/>
  <c r="G98" i="21"/>
  <c r="H98" i="21"/>
  <c r="G108" i="21"/>
  <c r="H108" i="21"/>
  <c r="G102" i="21"/>
  <c r="H102" i="21"/>
  <c r="G120" i="21"/>
  <c r="H120" i="21"/>
  <c r="H99" i="21"/>
  <c r="G99" i="21"/>
  <c r="H107" i="21"/>
  <c r="G107" i="21"/>
  <c r="H116" i="21"/>
  <c r="G116" i="21"/>
  <c r="G109" i="21"/>
  <c r="H109" i="21"/>
  <c r="H103" i="21"/>
  <c r="G103" i="21"/>
  <c r="F128" i="21"/>
  <c r="H97" i="21"/>
  <c r="G97" i="21"/>
  <c r="G117" i="21"/>
  <c r="H117" i="21"/>
  <c r="G110" i="21"/>
  <c r="H110" i="21"/>
  <c r="H96" i="21"/>
  <c r="G96" i="21"/>
  <c r="E128" i="21"/>
  <c r="G105" i="21"/>
  <c r="H105" i="21"/>
  <c r="H106" i="21"/>
  <c r="G106" i="21"/>
  <c r="H115" i="21"/>
  <c r="G115" i="21"/>
  <c r="H124" i="21"/>
  <c r="G124" i="21"/>
  <c r="H111" i="21"/>
  <c r="G111" i="21"/>
  <c r="E187" i="17"/>
  <c r="G187" i="17"/>
  <c r="D187" i="17"/>
  <c r="F187" i="17"/>
  <c r="C188" i="17"/>
  <c r="H187" i="17"/>
  <c r="I29" i="11"/>
  <c r="C59" i="4"/>
  <c r="G58" i="4"/>
  <c r="D58" i="4"/>
  <c r="F58" i="4" s="1"/>
  <c r="G57" i="4"/>
  <c r="D57" i="4"/>
  <c r="F57" i="4" s="1"/>
  <c r="G56" i="4"/>
  <c r="D56" i="4"/>
  <c r="F56" i="4" s="1"/>
  <c r="G55" i="4"/>
  <c r="D55" i="4"/>
  <c r="F55" i="4" s="1"/>
  <c r="G54" i="4"/>
  <c r="D54" i="4"/>
  <c r="F54" i="4" s="1"/>
  <c r="G53" i="4"/>
  <c r="D53" i="4"/>
  <c r="F53" i="4" s="1"/>
  <c r="G52" i="4"/>
  <c r="D52" i="4"/>
  <c r="F52" i="4" s="1"/>
  <c r="G51" i="4"/>
  <c r="D51" i="4"/>
  <c r="F51" i="4" s="1"/>
  <c r="G50" i="4"/>
  <c r="D50" i="4"/>
  <c r="F50" i="4" s="1"/>
  <c r="D35" i="6" l="1"/>
  <c r="C35" i="6"/>
  <c r="I187" i="17"/>
  <c r="F42" i="67"/>
  <c r="F18" i="67"/>
  <c r="F19" i="67"/>
  <c r="F44" i="67"/>
  <c r="F32" i="67"/>
  <c r="F37" i="67"/>
  <c r="F33" i="67"/>
  <c r="E17" i="26"/>
  <c r="E17" i="67" s="1"/>
  <c r="F26" i="67"/>
  <c r="F23" i="67"/>
  <c r="F35" i="67"/>
  <c r="F20" i="67"/>
  <c r="F22" i="67"/>
  <c r="F41" i="67"/>
  <c r="F39" i="67"/>
  <c r="F31" i="67"/>
  <c r="F24" i="67"/>
  <c r="F46" i="67"/>
  <c r="F36" i="67"/>
  <c r="F40" i="67"/>
  <c r="F27" i="67"/>
  <c r="F45" i="67"/>
  <c r="F38" i="67"/>
  <c r="F28" i="67"/>
  <c r="F43" i="67"/>
  <c r="F34" i="67"/>
  <c r="F30" i="67"/>
  <c r="F29" i="67"/>
  <c r="F21" i="67"/>
  <c r="F25" i="67"/>
  <c r="H28" i="6"/>
  <c r="I28" i="6" s="1"/>
  <c r="I16" i="6"/>
  <c r="E35" i="6"/>
  <c r="F35" i="6"/>
  <c r="F17" i="67"/>
  <c r="H128" i="21"/>
  <c r="F47" i="67" s="1"/>
  <c r="G128" i="21"/>
  <c r="D17" i="26"/>
  <c r="D17" i="67" s="1"/>
  <c r="H51" i="4"/>
  <c r="H54" i="4"/>
  <c r="H57" i="4"/>
  <c r="H50" i="4"/>
  <c r="D59" i="4"/>
  <c r="F59" i="4"/>
  <c r="H53" i="4"/>
  <c r="H56" i="4"/>
  <c r="H52" i="4"/>
  <c r="H58" i="4"/>
  <c r="H55" i="4"/>
  <c r="F52" i="26" l="1"/>
  <c r="F52" i="67" s="1"/>
  <c r="I34" i="6"/>
  <c r="I35" i="6" s="1"/>
  <c r="H59" i="4"/>
  <c r="H35" i="6" l="1"/>
  <c r="C43" i="4"/>
  <c r="G42" i="4"/>
  <c r="F42" i="4"/>
  <c r="G41" i="4"/>
  <c r="F41" i="4"/>
  <c r="G40" i="4"/>
  <c r="F40" i="4"/>
  <c r="G39" i="4"/>
  <c r="F39" i="4"/>
  <c r="G38" i="4"/>
  <c r="F38" i="4"/>
  <c r="G37" i="4"/>
  <c r="F37" i="4"/>
  <c r="G36" i="4"/>
  <c r="F36" i="4"/>
  <c r="G35" i="4"/>
  <c r="F35" i="4"/>
  <c r="G34" i="4"/>
  <c r="F34" i="4"/>
  <c r="C27" i="4"/>
  <c r="G18" i="4"/>
  <c r="G19" i="4"/>
  <c r="G20" i="4"/>
  <c r="G21" i="4"/>
  <c r="G22" i="4"/>
  <c r="G23" i="4"/>
  <c r="G24" i="4"/>
  <c r="G25" i="4"/>
  <c r="G26" i="4"/>
  <c r="F23" i="4"/>
  <c r="F24" i="4"/>
  <c r="F25" i="4"/>
  <c r="F26" i="4"/>
  <c r="C66" i="4" l="1"/>
  <c r="H42" i="4"/>
  <c r="D43" i="4"/>
  <c r="H38" i="4"/>
  <c r="H41" i="4"/>
  <c r="H40" i="4"/>
  <c r="H34" i="4"/>
  <c r="H35" i="4"/>
  <c r="H37" i="4"/>
  <c r="H36" i="4"/>
  <c r="F43" i="4"/>
  <c r="H39" i="4"/>
  <c r="H24" i="4"/>
  <c r="H25" i="4"/>
  <c r="H23" i="4"/>
  <c r="H26" i="4"/>
  <c r="A13" i="26"/>
  <c r="A14" i="26" s="1"/>
  <c r="A15" i="26" s="1"/>
  <c r="A16" i="26" s="1"/>
  <c r="A17" i="26" s="1"/>
  <c r="A18" i="26" s="1"/>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2" i="26" s="1"/>
  <c r="A43" i="26" s="1"/>
  <c r="A44" i="26" s="1"/>
  <c r="A45" i="26" s="1"/>
  <c r="A46" i="26" s="1"/>
  <c r="A47" i="26" s="1"/>
  <c r="A48" i="26" s="1"/>
  <c r="A49" i="26" s="1"/>
  <c r="A50" i="26" s="1"/>
  <c r="A51" i="26" s="1"/>
  <c r="B12" i="26"/>
  <c r="B13" i="26" s="1"/>
  <c r="B14" i="26" s="1"/>
  <c r="B15" i="26" s="1"/>
  <c r="B16" i="26" s="1"/>
  <c r="B17" i="26" s="1"/>
  <c r="B18" i="26" s="1"/>
  <c r="B19" i="26" s="1"/>
  <c r="B20" i="26" s="1"/>
  <c r="B21" i="26" s="1"/>
  <c r="B22" i="26" s="1"/>
  <c r="B23" i="26" s="1"/>
  <c r="B24" i="26" s="1"/>
  <c r="B25" i="26" s="1"/>
  <c r="B26" i="26" s="1"/>
  <c r="B27" i="26" s="1"/>
  <c r="B28" i="26" s="1"/>
  <c r="B29" i="26" s="1"/>
  <c r="B30" i="26" s="1"/>
  <c r="B31" i="26" s="1"/>
  <c r="B32" i="26" s="1"/>
  <c r="B33" i="26" s="1"/>
  <c r="B34" i="26" s="1"/>
  <c r="B35" i="26" s="1"/>
  <c r="B36" i="26" s="1"/>
  <c r="B37" i="26" s="1"/>
  <c r="B38" i="26" s="1"/>
  <c r="B39" i="26" s="1"/>
  <c r="B40" i="26" s="1"/>
  <c r="B41" i="26" s="1"/>
  <c r="B42" i="26" s="1"/>
  <c r="B43" i="26" s="1"/>
  <c r="B44" i="26" s="1"/>
  <c r="B45" i="26" s="1"/>
  <c r="B46" i="26" s="1"/>
  <c r="B47" i="26" s="1"/>
  <c r="B48" i="26" s="1"/>
  <c r="B49" i="26" s="1"/>
  <c r="B50" i="26" s="1"/>
  <c r="B51" i="26" s="1"/>
  <c r="H43" i="4" l="1"/>
  <c r="C25" i="2" l="1"/>
  <c r="C26" i="2" s="1"/>
  <c r="C27" i="2" s="1"/>
  <c r="C28" i="2" s="1"/>
  <c r="C29" i="2" s="1"/>
  <c r="C30" i="2" s="1"/>
  <c r="C31" i="2" s="1"/>
  <c r="C32" i="2" s="1"/>
  <c r="C33" i="2" s="1"/>
  <c r="C34" i="2" s="1"/>
  <c r="C35" i="2" s="1"/>
  <c r="C36" i="2" s="1"/>
  <c r="C37" i="2" s="1"/>
  <c r="C38" i="2" s="1"/>
  <c r="C39" i="2" s="1"/>
  <c r="C40" i="2" s="1"/>
  <c r="C41" i="2" s="1"/>
  <c r="C42" i="2" s="1"/>
  <c r="C43" i="2" s="1"/>
  <c r="C44" i="2" s="1"/>
  <c r="C45" i="2" s="1"/>
  <c r="C46" i="2" s="1"/>
  <c r="C47" i="2" s="1"/>
  <c r="C48" i="2" s="1"/>
  <c r="C49" i="2" s="1"/>
  <c r="C50" i="2" s="1"/>
  <c r="C51" i="2" s="1"/>
  <c r="C52" i="2" s="1"/>
  <c r="C53" i="2" s="1"/>
  <c r="C54" i="2" s="1"/>
  <c r="C55" i="2" s="1"/>
  <c r="C56" i="2" s="1"/>
  <c r="C57" i="2" s="1"/>
  <c r="C58" i="2" s="1"/>
  <c r="C59" i="2" s="1"/>
  <c r="F19" i="4" l="1"/>
  <c r="F20" i="4"/>
  <c r="F21" i="4"/>
  <c r="F22" i="4"/>
  <c r="D27" i="4" l="1"/>
  <c r="F18" i="4"/>
  <c r="F27" i="4" s="1"/>
  <c r="G25" i="8"/>
  <c r="F16" i="27" l="1"/>
  <c r="F66" i="4"/>
  <c r="D25" i="27"/>
  <c r="D16" i="27"/>
  <c r="D20" i="27"/>
  <c r="D46" i="27"/>
  <c r="D33" i="27"/>
  <c r="D66" i="4"/>
  <c r="D39" i="27"/>
  <c r="D32" i="27"/>
  <c r="D24" i="27"/>
  <c r="D43" i="27"/>
  <c r="D51" i="27"/>
  <c r="D49" i="27"/>
  <c r="D22" i="27"/>
  <c r="D50" i="27"/>
  <c r="D27" i="27"/>
  <c r="D31" i="27"/>
  <c r="D34" i="27"/>
  <c r="D26" i="27"/>
  <c r="D29" i="27"/>
  <c r="D35" i="27"/>
  <c r="D23" i="27"/>
  <c r="D45" i="27"/>
  <c r="D47" i="27"/>
  <c r="D48" i="27"/>
  <c r="D18" i="27"/>
  <c r="D19" i="27"/>
  <c r="D40" i="27"/>
  <c r="D17" i="27"/>
  <c r="D37" i="27"/>
  <c r="D30" i="27"/>
  <c r="D38" i="27"/>
  <c r="D36" i="27"/>
  <c r="D21" i="27"/>
  <c r="D42" i="27"/>
  <c r="D41" i="27"/>
  <c r="D44" i="27"/>
  <c r="D28" i="27"/>
  <c r="B3" i="29"/>
  <c r="E16" i="27" l="1"/>
  <c r="H18" i="4"/>
  <c r="C3" i="25" l="1"/>
  <c r="G16" i="8" l="1"/>
  <c r="B3" i="8"/>
  <c r="B3" i="13"/>
  <c r="G27" i="8" l="1"/>
  <c r="D10" i="25" l="1"/>
  <c r="D3" i="25"/>
  <c r="E3" i="25" l="1"/>
  <c r="E10" i="25"/>
  <c r="F10" i="25" s="1"/>
  <c r="F3" i="25" l="1"/>
  <c r="G3" i="25"/>
  <c r="F17" i="27" l="1"/>
  <c r="E17" i="27" s="1"/>
  <c r="F18" i="27" l="1"/>
  <c r="E18" i="27" s="1"/>
  <c r="F19" i="27" l="1"/>
  <c r="E19" i="27" s="1"/>
  <c r="F20" i="27" l="1"/>
  <c r="E20" i="27" s="1"/>
  <c r="F21" i="27" l="1"/>
  <c r="E21" i="27" s="1"/>
  <c r="F22" i="27" l="1"/>
  <c r="E22" i="27" l="1"/>
  <c r="F23" i="27"/>
  <c r="E23" i="27" l="1"/>
  <c r="F24" i="27"/>
  <c r="E24" i="27" l="1"/>
  <c r="F25" i="27"/>
  <c r="E25" i="27" l="1"/>
  <c r="F26" i="27"/>
  <c r="G22" i="10"/>
  <c r="B30" i="10" l="1"/>
  <c r="B28" i="10"/>
  <c r="B32" i="10"/>
  <c r="B29" i="10"/>
  <c r="B31" i="10"/>
  <c r="E26" i="27"/>
  <c r="F27" i="27"/>
  <c r="E27" i="27" l="1"/>
  <c r="F28" i="27"/>
  <c r="E16" i="13"/>
  <c r="E17" i="13"/>
  <c r="E18" i="13"/>
  <c r="E19" i="13"/>
  <c r="E20" i="13"/>
  <c r="E15" i="13"/>
  <c r="E28" i="27" l="1"/>
  <c r="F29" i="27"/>
  <c r="H3" i="25"/>
  <c r="H10" i="25"/>
  <c r="I10" i="25" s="1"/>
  <c r="E29" i="27" l="1"/>
  <c r="F30" i="27"/>
  <c r="K10" i="25"/>
  <c r="J10" i="25"/>
  <c r="E30" i="27" l="1"/>
  <c r="F31" i="27"/>
  <c r="J3" i="25"/>
  <c r="K3" i="25"/>
  <c r="E31" i="27" l="1"/>
  <c r="F32" i="27"/>
  <c r="H22" i="4"/>
  <c r="E32" i="27" l="1"/>
  <c r="F33" i="27"/>
  <c r="H19" i="4"/>
  <c r="H21" i="4"/>
  <c r="H20" i="4"/>
  <c r="E33" i="27" l="1"/>
  <c r="F34" i="27"/>
  <c r="H27" i="4"/>
  <c r="H66" i="4" s="1"/>
  <c r="G21" i="27" s="1" a="1"/>
  <c r="G21" i="27" s="1"/>
  <c r="G22" i="27" s="1"/>
  <c r="E34" i="27" l="1"/>
  <c r="F35" i="27"/>
  <c r="C17" i="26" l="1"/>
  <c r="C17" i="67" s="1"/>
  <c r="M17" i="67" s="1"/>
  <c r="D29" i="68" s="1"/>
  <c r="E35" i="27"/>
  <c r="F36" i="27"/>
  <c r="N17" i="67" l="1"/>
  <c r="O17" i="67"/>
  <c r="C18" i="26"/>
  <c r="C18" i="67" s="1"/>
  <c r="G23" i="27"/>
  <c r="E36" i="27"/>
  <c r="F37" i="27"/>
  <c r="E29" i="68" l="1"/>
  <c r="C19" i="26"/>
  <c r="C19" i="67" s="1"/>
  <c r="G24" i="27"/>
  <c r="E37" i="27"/>
  <c r="F38" i="27"/>
  <c r="C20" i="26" l="1"/>
  <c r="C20" i="67" s="1"/>
  <c r="G25" i="27"/>
  <c r="E38" i="27"/>
  <c r="F39" i="27"/>
  <c r="C21" i="26" l="1"/>
  <c r="C21" i="67" s="1"/>
  <c r="G26" i="27"/>
  <c r="E39" i="27"/>
  <c r="F40" i="27"/>
  <c r="C22" i="26" l="1"/>
  <c r="C22" i="67" s="1"/>
  <c r="G27" i="27"/>
  <c r="E40" i="27"/>
  <c r="F41" i="27"/>
  <c r="C23" i="26" l="1"/>
  <c r="C23" i="67" s="1"/>
  <c r="G28" i="27"/>
  <c r="E41" i="27"/>
  <c r="F42" i="27"/>
  <c r="C52" i="27"/>
  <c r="C24" i="26" l="1"/>
  <c r="C24" i="67" s="1"/>
  <c r="G29" i="27"/>
  <c r="E42" i="27"/>
  <c r="F43" i="27"/>
  <c r="C25" i="26" l="1"/>
  <c r="C25" i="67" s="1"/>
  <c r="G30" i="27"/>
  <c r="E43" i="27"/>
  <c r="F44" i="27"/>
  <c r="C12" i="29"/>
  <c r="D12" i="29" s="1"/>
  <c r="E12" i="29" s="1"/>
  <c r="C26" i="26" l="1"/>
  <c r="C26" i="67" s="1"/>
  <c r="G31" i="27"/>
  <c r="E44" i="27"/>
  <c r="F45" i="27"/>
  <c r="C27" i="26" l="1"/>
  <c r="C27" i="67" s="1"/>
  <c r="G32" i="27"/>
  <c r="E45" i="27"/>
  <c r="F46" i="27"/>
  <c r="C28" i="26" l="1"/>
  <c r="C28" i="67" s="1"/>
  <c r="G33" i="27"/>
  <c r="E46" i="27"/>
  <c r="F47" i="27"/>
  <c r="C29" i="26" l="1"/>
  <c r="C29" i="67" s="1"/>
  <c r="G34" i="27"/>
  <c r="E47" i="27"/>
  <c r="F48" i="27"/>
  <c r="C30" i="26" l="1"/>
  <c r="C30" i="67" s="1"/>
  <c r="G35" i="27"/>
  <c r="E48" i="27"/>
  <c r="F49" i="27"/>
  <c r="C31" i="26" l="1"/>
  <c r="C31" i="67" s="1"/>
  <c r="G36" i="27"/>
  <c r="E49" i="27"/>
  <c r="F50" i="27"/>
  <c r="C32" i="26" l="1"/>
  <c r="C32" i="67" s="1"/>
  <c r="G37" i="27"/>
  <c r="E50" i="27"/>
  <c r="F51" i="27"/>
  <c r="D52" i="27"/>
  <c r="C33" i="26" l="1"/>
  <c r="C33" i="67" s="1"/>
  <c r="G38" i="27"/>
  <c r="E51" i="27"/>
  <c r="E52" i="27"/>
  <c r="C34" i="26" l="1"/>
  <c r="C34" i="67" s="1"/>
  <c r="G39" i="27"/>
  <c r="F52" i="27"/>
  <c r="C35" i="26" l="1"/>
  <c r="C35" i="67" s="1"/>
  <c r="G40" i="27"/>
  <c r="C36" i="26" l="1"/>
  <c r="C36" i="67" s="1"/>
  <c r="G41" i="27"/>
  <c r="C11" i="13"/>
  <c r="C37" i="26" l="1"/>
  <c r="C37" i="67" s="1"/>
  <c r="G42" i="27"/>
  <c r="K9" i="13"/>
  <c r="K10" i="13" s="1"/>
  <c r="C38" i="26" l="1"/>
  <c r="C38" i="67" s="1"/>
  <c r="G43" i="27"/>
  <c r="K11" i="13"/>
  <c r="K12" i="13" s="1"/>
  <c r="K14" i="13" s="1"/>
  <c r="C39" i="26" l="1"/>
  <c r="C39" i="67" s="1"/>
  <c r="G44" i="27"/>
  <c r="C40" i="26" l="1"/>
  <c r="C40" i="67" s="1"/>
  <c r="G45" i="27"/>
  <c r="C41" i="26" l="1"/>
  <c r="C41" i="67" s="1"/>
  <c r="G46" i="27"/>
  <c r="C42" i="26" l="1"/>
  <c r="C42" i="67" s="1"/>
  <c r="G47" i="27"/>
  <c r="C43" i="26" l="1"/>
  <c r="C43" i="67" s="1"/>
  <c r="G48" i="27"/>
  <c r="C44" i="26" l="1"/>
  <c r="C44" i="67" s="1"/>
  <c r="G49" i="27"/>
  <c r="C45" i="26" l="1"/>
  <c r="C45" i="67" s="1"/>
  <c r="G50" i="27"/>
  <c r="C46" i="26" l="1"/>
  <c r="C46" i="67" s="1"/>
  <c r="G51" i="27"/>
  <c r="C47" i="26" l="1"/>
  <c r="C47" i="67" s="1"/>
  <c r="G52" i="27"/>
  <c r="I66" i="4" s="1"/>
  <c r="H7" i="25"/>
  <c r="C52" i="26" l="1"/>
  <c r="H5" i="25"/>
  <c r="J5" i="25" s="1"/>
  <c r="H4" i="25"/>
  <c r="H8" i="25"/>
  <c r="K7" i="25"/>
  <c r="J7" i="25"/>
  <c r="H9" i="25"/>
  <c r="H6" i="25"/>
  <c r="C9" i="29" l="1"/>
  <c r="D9" i="29" s="1"/>
  <c r="C52" i="67"/>
  <c r="M15" i="26"/>
  <c r="N15" i="26" s="1"/>
  <c r="E27" i="2" s="1"/>
  <c r="H32" i="2"/>
  <c r="F66" i="26"/>
  <c r="G66" i="26"/>
  <c r="H30" i="2"/>
  <c r="G64" i="26"/>
  <c r="F64" i="26"/>
  <c r="H43" i="2"/>
  <c r="F77" i="26"/>
  <c r="G77" i="26"/>
  <c r="H49" i="2"/>
  <c r="G83" i="26"/>
  <c r="F83" i="26"/>
  <c r="H54" i="2"/>
  <c r="F88" i="26"/>
  <c r="G88" i="26"/>
  <c r="H38" i="2"/>
  <c r="F72" i="26"/>
  <c r="G72" i="26"/>
  <c r="H57" i="2"/>
  <c r="G91" i="26"/>
  <c r="F91" i="26"/>
  <c r="H34" i="2"/>
  <c r="G68" i="26"/>
  <c r="F68" i="26"/>
  <c r="H41" i="2"/>
  <c r="F75" i="26"/>
  <c r="G75" i="26"/>
  <c r="H33" i="2"/>
  <c r="G67" i="26"/>
  <c r="F67" i="26"/>
  <c r="H53" i="2"/>
  <c r="G87" i="26"/>
  <c r="F87" i="26"/>
  <c r="H44" i="2"/>
  <c r="G78" i="26"/>
  <c r="F78" i="26"/>
  <c r="H51" i="2"/>
  <c r="F85" i="26"/>
  <c r="G85" i="26"/>
  <c r="H42" i="2"/>
  <c r="F76" i="26"/>
  <c r="G76" i="26"/>
  <c r="H59" i="2"/>
  <c r="F93" i="26"/>
  <c r="G93" i="26"/>
  <c r="H52" i="2"/>
  <c r="F86" i="26"/>
  <c r="G86" i="26"/>
  <c r="H55" i="2"/>
  <c r="F89" i="26"/>
  <c r="G89" i="26"/>
  <c r="H50" i="2"/>
  <c r="F84" i="26"/>
  <c r="G84" i="26"/>
  <c r="H31" i="2"/>
  <c r="G65" i="26"/>
  <c r="F65" i="26"/>
  <c r="H37" i="2"/>
  <c r="G71" i="26"/>
  <c r="F71" i="26"/>
  <c r="H35" i="2"/>
  <c r="F69" i="26"/>
  <c r="G69" i="26"/>
  <c r="H40" i="2"/>
  <c r="F74" i="26"/>
  <c r="G74" i="26"/>
  <c r="H47" i="2"/>
  <c r="F81" i="26"/>
  <c r="G81" i="26"/>
  <c r="H46" i="2"/>
  <c r="G80" i="26"/>
  <c r="F80" i="26"/>
  <c r="H39" i="2"/>
  <c r="F73" i="26"/>
  <c r="G73" i="26"/>
  <c r="H48" i="2"/>
  <c r="G82" i="26"/>
  <c r="F82" i="26"/>
  <c r="H45" i="2"/>
  <c r="G79" i="26"/>
  <c r="F79" i="26"/>
  <c r="H58" i="2"/>
  <c r="G92" i="26"/>
  <c r="F92" i="26"/>
  <c r="H36" i="2"/>
  <c r="G70" i="26"/>
  <c r="F70" i="26"/>
  <c r="H56" i="2"/>
  <c r="G90" i="26"/>
  <c r="F90" i="26"/>
  <c r="M13" i="26"/>
  <c r="K5" i="25"/>
  <c r="M17" i="26"/>
  <c r="J9" i="25"/>
  <c r="K9" i="25"/>
  <c r="J6" i="25"/>
  <c r="K6" i="25"/>
  <c r="G11" i="25"/>
  <c r="D27" i="2"/>
  <c r="J8" i="25"/>
  <c r="K8" i="25"/>
  <c r="M12" i="26"/>
  <c r="H11" i="25"/>
  <c r="O15" i="26" l="1"/>
  <c r="N17" i="26"/>
  <c r="E29" i="2" s="1"/>
  <c r="M14" i="26"/>
  <c r="N14" i="26" s="1"/>
  <c r="E26" i="2" s="1"/>
  <c r="M16" i="26"/>
  <c r="N16" i="26" s="1"/>
  <c r="E28" i="2" s="1"/>
  <c r="I58" i="2"/>
  <c r="J58" i="2"/>
  <c r="I37" i="2"/>
  <c r="J37" i="2"/>
  <c r="J42" i="2"/>
  <c r="I42" i="2"/>
  <c r="J44" i="2"/>
  <c r="I44" i="2"/>
  <c r="I33" i="2"/>
  <c r="J33" i="2"/>
  <c r="J34" i="2"/>
  <c r="I34" i="2"/>
  <c r="I56" i="2"/>
  <c r="J56" i="2"/>
  <c r="J52" i="2"/>
  <c r="I52" i="2"/>
  <c r="J38" i="2"/>
  <c r="I38" i="2"/>
  <c r="I49" i="2"/>
  <c r="J49" i="2"/>
  <c r="I30" i="2"/>
  <c r="J30" i="2"/>
  <c r="J40" i="2"/>
  <c r="I40" i="2"/>
  <c r="J36" i="2"/>
  <c r="I36" i="2"/>
  <c r="I45" i="2"/>
  <c r="J45" i="2"/>
  <c r="J39" i="2"/>
  <c r="I39" i="2"/>
  <c r="I47" i="2"/>
  <c r="J47" i="2"/>
  <c r="I35" i="2"/>
  <c r="J35" i="2"/>
  <c r="I31" i="2"/>
  <c r="J31" i="2"/>
  <c r="J55" i="2"/>
  <c r="I55" i="2"/>
  <c r="J59" i="2"/>
  <c r="I59" i="2"/>
  <c r="J46" i="2"/>
  <c r="I46" i="2"/>
  <c r="I50" i="2"/>
  <c r="J50" i="2"/>
  <c r="I51" i="2"/>
  <c r="J51" i="2"/>
  <c r="J53" i="2"/>
  <c r="I53" i="2"/>
  <c r="I41" i="2"/>
  <c r="J41" i="2"/>
  <c r="J48" i="2"/>
  <c r="I48" i="2"/>
  <c r="J57" i="2"/>
  <c r="I57" i="2"/>
  <c r="J54" i="2"/>
  <c r="I54" i="2"/>
  <c r="J43" i="2"/>
  <c r="I43" i="2"/>
  <c r="J32" i="2"/>
  <c r="I32" i="2"/>
  <c r="D29" i="2"/>
  <c r="D25" i="2"/>
  <c r="F25" i="2" s="1"/>
  <c r="N13" i="26"/>
  <c r="E25" i="2" s="1"/>
  <c r="O13" i="26"/>
  <c r="D26" i="2"/>
  <c r="O14" i="26"/>
  <c r="I11" i="25"/>
  <c r="K4" i="25"/>
  <c r="J4" i="25"/>
  <c r="F27" i="2"/>
  <c r="D28" i="2"/>
  <c r="O16" i="26"/>
  <c r="O17" i="26"/>
  <c r="F29" i="68" l="1"/>
  <c r="F29" i="2"/>
  <c r="F28" i="2"/>
  <c r="F26" i="2"/>
  <c r="N12" i="26"/>
  <c r="E24" i="2" s="1"/>
  <c r="O12" i="26" l="1"/>
  <c r="D24" i="2"/>
  <c r="F24" i="2" l="1"/>
  <c r="E9" i="29" l="1"/>
  <c r="C53" i="17" l="1"/>
  <c r="E35" i="42"/>
  <c r="E37" i="42" s="1"/>
  <c r="E39" i="42" s="1"/>
  <c r="E27" i="40" l="1"/>
  <c r="E33" i="40" s="1"/>
  <c r="F27" i="40" l="1"/>
  <c r="F33" i="40" s="1"/>
  <c r="G27" i="40"/>
  <c r="G33" i="40" s="1"/>
  <c r="H27" i="40"/>
  <c r="H33" i="40" s="1"/>
  <c r="H34" i="40" l="1"/>
  <c r="I33" i="40"/>
  <c r="I34" i="40" s="1"/>
  <c r="K24" i="26" l="1"/>
  <c r="K24" i="67" s="1"/>
  <c r="K30" i="26"/>
  <c r="K30" i="67" s="1"/>
  <c r="K36" i="26"/>
  <c r="K36" i="67" s="1"/>
  <c r="K42" i="26"/>
  <c r="K42" i="67" s="1"/>
  <c r="K18" i="26"/>
  <c r="K18" i="67" s="1"/>
  <c r="K23" i="26"/>
  <c r="K23" i="67" s="1"/>
  <c r="K41" i="26"/>
  <c r="K41" i="67" s="1"/>
  <c r="K19" i="26"/>
  <c r="K19" i="67" s="1"/>
  <c r="K25" i="26"/>
  <c r="K25" i="67" s="1"/>
  <c r="K31" i="26"/>
  <c r="K31" i="67" s="1"/>
  <c r="K37" i="26"/>
  <c r="K37" i="67" s="1"/>
  <c r="K43" i="26"/>
  <c r="K43" i="67" s="1"/>
  <c r="K40" i="26"/>
  <c r="K40" i="67" s="1"/>
  <c r="K20" i="26"/>
  <c r="K20" i="67" s="1"/>
  <c r="K26" i="26"/>
  <c r="K26" i="67" s="1"/>
  <c r="K32" i="26"/>
  <c r="K32" i="67" s="1"/>
  <c r="K38" i="26"/>
  <c r="K38" i="67" s="1"/>
  <c r="K44" i="26"/>
  <c r="K44" i="67" s="1"/>
  <c r="K35" i="26"/>
  <c r="K35" i="67" s="1"/>
  <c r="K21" i="26"/>
  <c r="K21" i="67" s="1"/>
  <c r="K27" i="26"/>
  <c r="K27" i="67" s="1"/>
  <c r="K33" i="26"/>
  <c r="K33" i="67" s="1"/>
  <c r="K39" i="26"/>
  <c r="K39" i="67" s="1"/>
  <c r="K45" i="26"/>
  <c r="K45" i="67" s="1"/>
  <c r="K22" i="26"/>
  <c r="K22" i="67" s="1"/>
  <c r="K28" i="26"/>
  <c r="K28" i="67" s="1"/>
  <c r="K34" i="26"/>
  <c r="K34" i="67" s="1"/>
  <c r="K46" i="26"/>
  <c r="K46" i="67" s="1"/>
  <c r="K29" i="26"/>
  <c r="K29" i="67" s="1"/>
  <c r="K47" i="26"/>
  <c r="K47" i="67" s="1"/>
  <c r="K52" i="26" l="1"/>
  <c r="K52" i="67" s="1"/>
  <c r="C5" i="25" l="1"/>
  <c r="C4" i="25"/>
  <c r="D4" i="25" s="1"/>
  <c r="C58" i="26"/>
  <c r="E15" i="14"/>
  <c r="E58" i="26" l="1"/>
  <c r="C58" i="67"/>
  <c r="E58" i="67" s="1"/>
  <c r="F58" i="26"/>
  <c r="H24" i="2"/>
  <c r="G58" i="26"/>
  <c r="E4" i="25"/>
  <c r="D5" i="25"/>
  <c r="E5" i="25" s="1"/>
  <c r="F5" i="25" s="1"/>
  <c r="F58" i="67" l="1"/>
  <c r="H24" i="68"/>
  <c r="G58" i="67"/>
  <c r="J24" i="2"/>
  <c r="I24" i="2"/>
  <c r="F4" i="25"/>
  <c r="C9" i="25"/>
  <c r="D9" i="25" s="1"/>
  <c r="E9" i="25" s="1"/>
  <c r="F9" i="25" s="1"/>
  <c r="G21" i="14"/>
  <c r="C8" i="25"/>
  <c r="D8" i="25" s="1"/>
  <c r="E8" i="25" s="1"/>
  <c r="F8" i="25" s="1"/>
  <c r="C6" i="25"/>
  <c r="D6" i="25" s="1"/>
  <c r="C7" i="25"/>
  <c r="D7" i="25" s="1"/>
  <c r="E7" i="25" s="1"/>
  <c r="F7" i="25" s="1"/>
  <c r="E20" i="14"/>
  <c r="C63" i="26"/>
  <c r="E17" i="14"/>
  <c r="C60" i="26"/>
  <c r="E19" i="14"/>
  <c r="C62" i="26"/>
  <c r="C62" i="67" s="1"/>
  <c r="E62" i="67" s="1"/>
  <c r="E18" i="14"/>
  <c r="C61" i="26"/>
  <c r="C61" i="67" s="1"/>
  <c r="E61" i="67" s="1"/>
  <c r="E16" i="14"/>
  <c r="C59" i="26"/>
  <c r="C59" i="67" s="1"/>
  <c r="H27" i="68" l="1"/>
  <c r="F61" i="67"/>
  <c r="G61" i="67"/>
  <c r="H28" i="68"/>
  <c r="F62" i="67"/>
  <c r="G62" i="67"/>
  <c r="E63" i="26"/>
  <c r="C63" i="67"/>
  <c r="E63" i="67" s="1"/>
  <c r="E62" i="26"/>
  <c r="J24" i="68"/>
  <c r="I24" i="68"/>
  <c r="E61" i="26"/>
  <c r="H27" i="2" s="1"/>
  <c r="E60" i="26"/>
  <c r="G60" i="26" s="1"/>
  <c r="C60" i="67"/>
  <c r="E60" i="67" s="1"/>
  <c r="E59" i="26"/>
  <c r="E98" i="26" s="1"/>
  <c r="E59" i="67"/>
  <c r="G61" i="26"/>
  <c r="H25" i="2"/>
  <c r="J25" i="2" s="1"/>
  <c r="G62" i="26"/>
  <c r="C98" i="26"/>
  <c r="E21" i="14"/>
  <c r="I25" i="2"/>
  <c r="D11" i="25"/>
  <c r="E6" i="25"/>
  <c r="G63" i="26"/>
  <c r="F63" i="26"/>
  <c r="H29" i="2"/>
  <c r="H28" i="2"/>
  <c r="F61" i="26"/>
  <c r="C11" i="25"/>
  <c r="F62" i="26"/>
  <c r="H29" i="68" l="1"/>
  <c r="G63" i="67"/>
  <c r="F63" i="67"/>
  <c r="F59" i="26"/>
  <c r="G59" i="26"/>
  <c r="F60" i="26"/>
  <c r="H26" i="2"/>
  <c r="J26" i="2" s="1"/>
  <c r="C98" i="67"/>
  <c r="H26" i="68"/>
  <c r="F60" i="67"/>
  <c r="G60" i="67"/>
  <c r="H25" i="68"/>
  <c r="I25" i="68" s="1"/>
  <c r="E98" i="67"/>
  <c r="G59" i="67"/>
  <c r="G98" i="67" s="1"/>
  <c r="F59" i="67"/>
  <c r="F98" i="67" s="1"/>
  <c r="I28" i="68"/>
  <c r="J28" i="68"/>
  <c r="J27" i="68"/>
  <c r="I27" i="68"/>
  <c r="H60" i="2"/>
  <c r="F98" i="26"/>
  <c r="E11" i="25"/>
  <c r="F6" i="25"/>
  <c r="F11" i="25" s="1"/>
  <c r="I29" i="2"/>
  <c r="J29" i="2"/>
  <c r="I26" i="2"/>
  <c r="G98" i="26"/>
  <c r="J28" i="2"/>
  <c r="I28" i="2"/>
  <c r="I27" i="2"/>
  <c r="J27" i="2"/>
  <c r="I29" i="68" l="1"/>
  <c r="J29" i="68"/>
  <c r="I26" i="68"/>
  <c r="J26" i="68"/>
  <c r="H60" i="68"/>
  <c r="J25" i="68"/>
  <c r="J60" i="68" s="1"/>
  <c r="I60" i="68"/>
  <c r="F15" i="68" s="1"/>
  <c r="I60" i="2"/>
  <c r="F15" i="2" s="1"/>
  <c r="J60" i="2"/>
  <c r="D30" i="11" a="1"/>
  <c r="D30" i="11" s="1"/>
  <c r="E30" i="11" a="1"/>
  <c r="E30" i="11" s="1"/>
  <c r="E188" i="17" s="1"/>
  <c r="F30" i="11" a="1"/>
  <c r="F30" i="11" s="1"/>
  <c r="F188" i="17" s="1"/>
  <c r="E18" i="26" s="1"/>
  <c r="E18" i="67" s="1"/>
  <c r="E134" i="17"/>
  <c r="E175" i="17" s="1"/>
  <c r="D134" i="17"/>
  <c r="F134" i="17"/>
  <c r="F175" i="17" s="1"/>
  <c r="C134" i="17"/>
  <c r="C175" i="17" s="1"/>
  <c r="E64" i="17"/>
  <c r="D64" i="17"/>
  <c r="D65" i="17" s="1"/>
  <c r="D106" i="17" s="1"/>
  <c r="D20" i="11" s="1" a="1"/>
  <c r="D20" i="11" s="1"/>
  <c r="F64" i="17"/>
  <c r="F105" i="17" s="1"/>
  <c r="C64" i="17"/>
  <c r="C65" i="17" s="1"/>
  <c r="C106" i="17" s="1"/>
  <c r="F65" i="17" l="1"/>
  <c r="D105" i="17"/>
  <c r="D19" i="11" s="1" a="1"/>
  <c r="D19" i="11" s="1"/>
  <c r="D188" i="17"/>
  <c r="D147" i="17"/>
  <c r="D32" i="11" s="1" a="1"/>
  <c r="D32" i="11" s="1"/>
  <c r="D190" i="17" s="1"/>
  <c r="C147" i="17"/>
  <c r="C20" i="11" a="1"/>
  <c r="C20" i="11" s="1"/>
  <c r="E65" i="17"/>
  <c r="E105" i="17"/>
  <c r="F19" i="11" a="1"/>
  <c r="F19" i="11" s="1"/>
  <c r="F146" i="17"/>
  <c r="C66" i="17"/>
  <c r="F106" i="17"/>
  <c r="F66" i="17"/>
  <c r="D146" i="17"/>
  <c r="D66" i="17"/>
  <c r="C105" i="17"/>
  <c r="D175" i="17"/>
  <c r="D18" i="26" l="1"/>
  <c r="E19" i="11" a="1"/>
  <c r="E19" i="11" s="1"/>
  <c r="E146" i="17"/>
  <c r="E66" i="17"/>
  <c r="E106" i="17"/>
  <c r="D31" i="11" a="1"/>
  <c r="D31" i="11" s="1"/>
  <c r="D189" i="17" s="1"/>
  <c r="F147" i="17"/>
  <c r="F32" i="11" s="1" a="1"/>
  <c r="F32" i="11" s="1"/>
  <c r="F190" i="17" s="1"/>
  <c r="E20" i="26" s="1"/>
  <c r="E20" i="67" s="1"/>
  <c r="F20" i="11" a="1"/>
  <c r="F20" i="11" s="1"/>
  <c r="C67" i="17"/>
  <c r="C107" i="17"/>
  <c r="F31" i="11" a="1"/>
  <c r="F31" i="11" s="1"/>
  <c r="F189" i="17" s="1"/>
  <c r="E19" i="26" s="1"/>
  <c r="C146" i="17"/>
  <c r="C19" i="11" a="1"/>
  <c r="C19" i="11" s="1"/>
  <c r="F67" i="17"/>
  <c r="F107" i="17"/>
  <c r="D67" i="17"/>
  <c r="D107" i="17"/>
  <c r="C32" i="11" a="1"/>
  <c r="C32" i="11" s="1"/>
  <c r="M18" i="26" l="1"/>
  <c r="D18" i="67"/>
  <c r="M18" i="67" s="1"/>
  <c r="C31" i="11" a="1"/>
  <c r="C31" i="11" s="1"/>
  <c r="E20" i="11" a="1"/>
  <c r="E20" i="11" s="1"/>
  <c r="E147" i="17"/>
  <c r="C190" i="17"/>
  <c r="E67" i="17"/>
  <c r="E107" i="17"/>
  <c r="C68" i="17"/>
  <c r="C108" i="17"/>
  <c r="D108" i="17"/>
  <c r="D149" i="17" s="1"/>
  <c r="D68" i="17"/>
  <c r="F148" i="17"/>
  <c r="F21" i="11" a="1"/>
  <c r="F21" i="11" s="1"/>
  <c r="F68" i="17"/>
  <c r="F108" i="17"/>
  <c r="F149" i="17" s="1"/>
  <c r="E31" i="11" a="1"/>
  <c r="E31" i="11" s="1"/>
  <c r="E189" i="17" s="1"/>
  <c r="E19" i="67"/>
  <c r="C148" i="17"/>
  <c r="C21" i="11" a="1"/>
  <c r="C21" i="11" s="1"/>
  <c r="D148" i="17"/>
  <c r="D21" i="11" a="1"/>
  <c r="D21" i="11" s="1"/>
  <c r="O18" i="67" l="1"/>
  <c r="N18" i="67"/>
  <c r="E30" i="68" s="1"/>
  <c r="D30" i="68"/>
  <c r="F30" i="68" s="1"/>
  <c r="N18" i="26"/>
  <c r="E30" i="2" s="1"/>
  <c r="D30" i="2"/>
  <c r="F30" i="2" s="1"/>
  <c r="O18" i="26"/>
  <c r="F33" i="11" a="1"/>
  <c r="F33" i="11" s="1"/>
  <c r="F191" i="17" s="1"/>
  <c r="E21" i="26" s="1"/>
  <c r="F109" i="17"/>
  <c r="F69" i="17"/>
  <c r="C149" i="17"/>
  <c r="D33" i="11" a="1"/>
  <c r="D33" i="11" s="1"/>
  <c r="D191" i="17" s="1"/>
  <c r="E148" i="17"/>
  <c r="E21" i="11" a="1"/>
  <c r="E21" i="11" s="1"/>
  <c r="E108" i="17"/>
  <c r="E68" i="17"/>
  <c r="C33" i="11" a="1"/>
  <c r="C33" i="11" s="1"/>
  <c r="E32" i="11" a="1"/>
  <c r="E32" i="11" s="1"/>
  <c r="D109" i="17"/>
  <c r="D150" i="17" s="1"/>
  <c r="D69" i="17"/>
  <c r="C109" i="17"/>
  <c r="C69" i="17"/>
  <c r="C189" i="17"/>
  <c r="E33" i="11" l="1" a="1"/>
  <c r="E33" i="11" s="1"/>
  <c r="E191" i="17" s="1"/>
  <c r="F110" i="17"/>
  <c r="F151" i="17" s="1"/>
  <c r="F70" i="17"/>
  <c r="F150" i="17"/>
  <c r="E109" i="17"/>
  <c r="E150" i="17" s="1"/>
  <c r="E69" i="17"/>
  <c r="C150" i="17"/>
  <c r="D70" i="17"/>
  <c r="D110" i="17"/>
  <c r="E149" i="17"/>
  <c r="D19" i="26"/>
  <c r="C70" i="17"/>
  <c r="C110" i="17"/>
  <c r="E190" i="17"/>
  <c r="C191" i="17"/>
  <c r="E21" i="67"/>
  <c r="D21" i="26" l="1"/>
  <c r="E110" i="17"/>
  <c r="E151" i="17" s="1"/>
  <c r="E70" i="17"/>
  <c r="C151" i="17"/>
  <c r="C111" i="17"/>
  <c r="C71" i="17"/>
  <c r="D20" i="26"/>
  <c r="F111" i="17"/>
  <c r="F152" i="17" s="1"/>
  <c r="F71" i="17"/>
  <c r="M19" i="26"/>
  <c r="D19" i="67"/>
  <c r="M19" i="67" s="1"/>
  <c r="D151" i="17"/>
  <c r="D111" i="17"/>
  <c r="D152" i="17" s="1"/>
  <c r="D71" i="17"/>
  <c r="D31" i="68" l="1"/>
  <c r="O19" i="67"/>
  <c r="N19" i="67"/>
  <c r="C112" i="17"/>
  <c r="C72" i="17"/>
  <c r="O19" i="26"/>
  <c r="N19" i="26"/>
  <c r="D31" i="2"/>
  <c r="E71" i="17"/>
  <c r="E111" i="17"/>
  <c r="D72" i="17"/>
  <c r="D112" i="17"/>
  <c r="D153" i="17" s="1"/>
  <c r="F72" i="17"/>
  <c r="F112" i="17"/>
  <c r="F153" i="17" s="1"/>
  <c r="D20" i="67"/>
  <c r="M20" i="67" s="1"/>
  <c r="M20" i="26"/>
  <c r="C152" i="17"/>
  <c r="D21" i="67"/>
  <c r="M21" i="67" s="1"/>
  <c r="M21" i="26"/>
  <c r="F31" i="68" l="1"/>
  <c r="E31" i="2"/>
  <c r="C113" i="17"/>
  <c r="C73" i="17"/>
  <c r="O21" i="67"/>
  <c r="N21" i="67"/>
  <c r="E33" i="68" s="1"/>
  <c r="D33" i="68"/>
  <c r="F33" i="68" s="1"/>
  <c r="F31" i="2"/>
  <c r="E31" i="68"/>
  <c r="D32" i="68"/>
  <c r="F32" i="68" s="1"/>
  <c r="O20" i="67"/>
  <c r="N20" i="67"/>
  <c r="E32" i="68" s="1"/>
  <c r="D32" i="2"/>
  <c r="F32" i="2" s="1"/>
  <c r="O20" i="26"/>
  <c r="N20" i="26"/>
  <c r="E32" i="2" s="1"/>
  <c r="F113" i="17"/>
  <c r="F154" i="17" s="1"/>
  <c r="F73" i="17"/>
  <c r="O21" i="26"/>
  <c r="N21" i="26"/>
  <c r="E33" i="2" s="1"/>
  <c r="D33" i="2"/>
  <c r="F33" i="2" s="1"/>
  <c r="D113" i="17"/>
  <c r="D154" i="17" s="1"/>
  <c r="D73" i="17"/>
  <c r="C153" i="17"/>
  <c r="E152" i="17"/>
  <c r="E112" i="17"/>
  <c r="E153" i="17" s="1"/>
  <c r="E72" i="17"/>
  <c r="C74" i="17" l="1"/>
  <c r="C114" i="17"/>
  <c r="D114" i="17"/>
  <c r="D155" i="17" s="1"/>
  <c r="D74" i="17"/>
  <c r="F114" i="17"/>
  <c r="F155" i="17" s="1"/>
  <c r="F74" i="17"/>
  <c r="C154" i="17"/>
  <c r="E73" i="17"/>
  <c r="E113" i="17"/>
  <c r="E154" i="17" s="1"/>
  <c r="C155" i="17" l="1"/>
  <c r="D75" i="17"/>
  <c r="D115" i="17"/>
  <c r="D156" i="17" s="1"/>
  <c r="C75" i="17"/>
  <c r="C115" i="17"/>
  <c r="F115" i="17"/>
  <c r="F156" i="17" s="1"/>
  <c r="F75" i="17"/>
  <c r="E114" i="17"/>
  <c r="E155" i="17" s="1"/>
  <c r="E74" i="17"/>
  <c r="F76" i="17" l="1"/>
  <c r="F116" i="17"/>
  <c r="F157" i="17" s="1"/>
  <c r="C76" i="17"/>
  <c r="C116" i="17"/>
  <c r="E115" i="17"/>
  <c r="E156" i="17" s="1"/>
  <c r="E75" i="17"/>
  <c r="C156" i="17"/>
  <c r="D76" i="17"/>
  <c r="D116" i="17"/>
  <c r="D157" i="17" s="1"/>
  <c r="C157" i="17" l="1"/>
  <c r="D77" i="17"/>
  <c r="D117" i="17"/>
  <c r="D158" i="17" s="1"/>
  <c r="E116" i="17"/>
  <c r="E157" i="17" s="1"/>
  <c r="E76" i="17"/>
  <c r="C117" i="17"/>
  <c r="C77" i="17"/>
  <c r="F117" i="17"/>
  <c r="F158" i="17" s="1"/>
  <c r="F77" i="17"/>
  <c r="F118" i="17" l="1"/>
  <c r="F159" i="17" s="1"/>
  <c r="F78" i="17"/>
  <c r="C118" i="17"/>
  <c r="C78" i="17"/>
  <c r="C158" i="17"/>
  <c r="E117" i="17"/>
  <c r="E158" i="17" s="1"/>
  <c r="E77" i="17"/>
  <c r="D78" i="17"/>
  <c r="D118" i="17"/>
  <c r="D159" i="17" s="1"/>
  <c r="C159" i="17" l="1"/>
  <c r="D79" i="17"/>
  <c r="D119" i="17"/>
  <c r="D160" i="17" s="1"/>
  <c r="E78" i="17"/>
  <c r="E118" i="17"/>
  <c r="E159" i="17" s="1"/>
  <c r="C79" i="17"/>
  <c r="C119" i="17"/>
  <c r="F119" i="17"/>
  <c r="F160" i="17" s="1"/>
  <c r="F79" i="17"/>
  <c r="F120" i="17" l="1"/>
  <c r="F161" i="17" s="1"/>
  <c r="F80" i="17"/>
  <c r="C160" i="17"/>
  <c r="C120" i="17"/>
  <c r="C80" i="17"/>
  <c r="E119" i="17"/>
  <c r="E160" i="17" s="1"/>
  <c r="E79" i="17"/>
  <c r="D80" i="17"/>
  <c r="D120" i="17"/>
  <c r="D161" i="17" s="1"/>
  <c r="D121" i="17" l="1"/>
  <c r="D162" i="17" s="1"/>
  <c r="D81" i="17"/>
  <c r="C121" i="17"/>
  <c r="C81" i="17"/>
  <c r="C161" i="17"/>
  <c r="F121" i="17"/>
  <c r="F162" i="17" s="1"/>
  <c r="F81" i="17"/>
  <c r="E80" i="17"/>
  <c r="E120" i="17"/>
  <c r="E161" i="17" s="1"/>
  <c r="C122" i="17" l="1"/>
  <c r="C82" i="17"/>
  <c r="D122" i="17"/>
  <c r="D163" i="17" s="1"/>
  <c r="D82" i="17"/>
  <c r="E121" i="17"/>
  <c r="E162" i="17" s="1"/>
  <c r="E81" i="17"/>
  <c r="F122" i="17"/>
  <c r="F163" i="17" s="1"/>
  <c r="F82" i="17"/>
  <c r="C162" i="17"/>
  <c r="F83" i="17" l="1"/>
  <c r="F123" i="17"/>
  <c r="F164" i="17" s="1"/>
  <c r="E82" i="17"/>
  <c r="E122" i="17"/>
  <c r="E163" i="17" s="1"/>
  <c r="D123" i="17"/>
  <c r="D164" i="17" s="1"/>
  <c r="D83" i="17"/>
  <c r="C83" i="17"/>
  <c r="C123" i="17"/>
  <c r="C163" i="17"/>
  <c r="C164" i="17" l="1"/>
  <c r="C124" i="17"/>
  <c r="C84" i="17"/>
  <c r="D124" i="17"/>
  <c r="D165" i="17" s="1"/>
  <c r="D84" i="17"/>
  <c r="E123" i="17"/>
  <c r="E164" i="17" s="1"/>
  <c r="E83" i="17"/>
  <c r="F124" i="17"/>
  <c r="F165" i="17" s="1"/>
  <c r="F84" i="17"/>
  <c r="D125" i="17" l="1"/>
  <c r="D166" i="17" s="1"/>
  <c r="D85" i="17"/>
  <c r="F125" i="17"/>
  <c r="F166" i="17" s="1"/>
  <c r="F85" i="17"/>
  <c r="E84" i="17"/>
  <c r="E124" i="17"/>
  <c r="E165" i="17" s="1"/>
  <c r="C125" i="17"/>
  <c r="C85" i="17"/>
  <c r="C165" i="17"/>
  <c r="C166" i="17" l="1"/>
  <c r="E85" i="17"/>
  <c r="E125" i="17"/>
  <c r="E166" i="17" s="1"/>
  <c r="F86" i="17"/>
  <c r="F126" i="17"/>
  <c r="F167" i="17" s="1"/>
  <c r="D86" i="17"/>
  <c r="D126" i="17"/>
  <c r="D167" i="17" s="1"/>
  <c r="C86" i="17"/>
  <c r="C126" i="17"/>
  <c r="C127" i="17" l="1"/>
  <c r="C87" i="17"/>
  <c r="D127" i="17"/>
  <c r="D168" i="17" s="1"/>
  <c r="D87" i="17"/>
  <c r="F87" i="17"/>
  <c r="F127" i="17"/>
  <c r="F168" i="17" s="1"/>
  <c r="E126" i="17"/>
  <c r="E167" i="17" s="1"/>
  <c r="E86" i="17"/>
  <c r="C167" i="17"/>
  <c r="E87" i="17" l="1"/>
  <c r="E127" i="17"/>
  <c r="E168" i="17" s="1"/>
  <c r="F128" i="17"/>
  <c r="F169" i="17" s="1"/>
  <c r="F88" i="17"/>
  <c r="D128" i="17"/>
  <c r="D169" i="17" s="1"/>
  <c r="D88" i="17"/>
  <c r="C88" i="17"/>
  <c r="C128" i="17"/>
  <c r="C168" i="17"/>
  <c r="C169" i="17" l="1"/>
  <c r="D129" i="17"/>
  <c r="D170" i="17" s="1"/>
  <c r="D89" i="17"/>
  <c r="C89" i="17"/>
  <c r="C129" i="17"/>
  <c r="F129" i="17"/>
  <c r="F170" i="17" s="1"/>
  <c r="F89" i="17"/>
  <c r="E128" i="17"/>
  <c r="E169" i="17" s="1"/>
  <c r="E88" i="17"/>
  <c r="F130" i="17" l="1"/>
  <c r="F171" i="17" s="1"/>
  <c r="F90" i="17"/>
  <c r="C170" i="17"/>
  <c r="C90" i="17"/>
  <c r="C130" i="17"/>
  <c r="E89" i="17"/>
  <c r="E129" i="17"/>
  <c r="E170" i="17" s="1"/>
  <c r="D90" i="17"/>
  <c r="D130" i="17"/>
  <c r="D171" i="17" s="1"/>
  <c r="C171" i="17" l="1"/>
  <c r="D131" i="17"/>
  <c r="D172" i="17" s="1"/>
  <c r="D91" i="17"/>
  <c r="E90" i="17"/>
  <c r="E130" i="17"/>
  <c r="E171" i="17" s="1"/>
  <c r="C91" i="17"/>
  <c r="C131" i="17"/>
  <c r="F131" i="17"/>
  <c r="F172" i="17" s="1"/>
  <c r="F91" i="17"/>
  <c r="C132" i="17" l="1"/>
  <c r="C92" i="17"/>
  <c r="F92" i="17"/>
  <c r="F132" i="17"/>
  <c r="F173" i="17" s="1"/>
  <c r="E91" i="17"/>
  <c r="E131" i="17"/>
  <c r="E172" i="17" s="1"/>
  <c r="D92" i="17"/>
  <c r="D132" i="17"/>
  <c r="D173" i="17" s="1"/>
  <c r="C172" i="17"/>
  <c r="D133" i="17" l="1"/>
  <c r="D94" i="17"/>
  <c r="E132" i="17"/>
  <c r="E173" i="17" s="1"/>
  <c r="E92" i="17"/>
  <c r="F133" i="17"/>
  <c r="F94" i="17"/>
  <c r="C133" i="17"/>
  <c r="C94" i="17"/>
  <c r="C173" i="17"/>
  <c r="C174" i="17" l="1"/>
  <c r="C23" i="11" a="1"/>
  <c r="C23" i="11" s="1"/>
  <c r="C135" i="17"/>
  <c r="C24" i="11"/>
  <c r="F174" i="17"/>
  <c r="F23" i="11" a="1"/>
  <c r="F23" i="11" s="1"/>
  <c r="F135" i="17"/>
  <c r="F24" i="11"/>
  <c r="E133" i="17"/>
  <c r="E94" i="17"/>
  <c r="D174" i="17"/>
  <c r="D23" i="11" a="1"/>
  <c r="D23" i="11" s="1"/>
  <c r="D24" i="11"/>
  <c r="D135" i="17"/>
  <c r="E174" i="17" l="1"/>
  <c r="E23" i="11" a="1"/>
  <c r="E23" i="11" s="1"/>
  <c r="E135" i="17"/>
  <c r="E24" i="11"/>
  <c r="F35" i="11" a="1"/>
  <c r="F35" i="11" s="1"/>
  <c r="F217" i="17" s="1"/>
  <c r="F36" i="11"/>
  <c r="F176" i="17"/>
  <c r="F41" i="11" s="1"/>
  <c r="D35" i="11" a="1"/>
  <c r="D35" i="11" s="1"/>
  <c r="D217" i="17" s="1"/>
  <c r="D36" i="11"/>
  <c r="D176" i="17"/>
  <c r="D41" i="11" s="1"/>
  <c r="C35" i="11" a="1"/>
  <c r="C35" i="11" s="1"/>
  <c r="C176" i="17"/>
  <c r="C41" i="11" s="1"/>
  <c r="C36" i="11"/>
  <c r="D192" i="17" l="1"/>
  <c r="C217" i="17"/>
  <c r="F192" i="17"/>
  <c r="E47" i="26"/>
  <c r="E47" i="67" s="1"/>
  <c r="F193" i="17"/>
  <c r="E23" i="26" s="1"/>
  <c r="E23" i="67" s="1"/>
  <c r="E35" i="11" a="1"/>
  <c r="E35" i="11" s="1"/>
  <c r="E217" i="17" s="1"/>
  <c r="E36" i="11"/>
  <c r="E176" i="17"/>
  <c r="E41" i="11" s="1"/>
  <c r="E22" i="26" l="1"/>
  <c r="D193" i="17"/>
  <c r="D194" i="17" s="1"/>
  <c r="D195" i="17" s="1"/>
  <c r="D196" i="17" s="1"/>
  <c r="D197" i="17" s="1"/>
  <c r="D198" i="17" s="1"/>
  <c r="D199" i="17" s="1"/>
  <c r="D200" i="17" s="1"/>
  <c r="D201" i="17" s="1"/>
  <c r="D202" i="17" s="1"/>
  <c r="D203" i="17" s="1"/>
  <c r="D204" i="17" s="1"/>
  <c r="D205" i="17" s="1"/>
  <c r="D206" i="17" s="1"/>
  <c r="D207" i="17" s="1"/>
  <c r="D208" i="17" s="1"/>
  <c r="D209" i="17" s="1"/>
  <c r="D210" i="17" s="1"/>
  <c r="D211" i="17" s="1"/>
  <c r="D212" i="17" s="1"/>
  <c r="D213" i="17" s="1"/>
  <c r="D214" i="17" s="1"/>
  <c r="D215" i="17" s="1"/>
  <c r="D216" i="17" s="1"/>
  <c r="E192" i="17"/>
  <c r="C192" i="17"/>
  <c r="D47" i="26"/>
  <c r="E22" i="67"/>
  <c r="F194" i="17"/>
  <c r="E193" i="17" l="1"/>
  <c r="E194" i="17" s="1"/>
  <c r="E195" i="17" s="1"/>
  <c r="E196" i="17" s="1"/>
  <c r="E197" i="17" s="1"/>
  <c r="E198" i="17" s="1"/>
  <c r="E199" i="17" s="1"/>
  <c r="E200" i="17" s="1"/>
  <c r="E201" i="17" s="1"/>
  <c r="E202" i="17" s="1"/>
  <c r="E203" i="17" s="1"/>
  <c r="E204" i="17" s="1"/>
  <c r="E205" i="17" s="1"/>
  <c r="E206" i="17" s="1"/>
  <c r="E207" i="17" s="1"/>
  <c r="E208" i="17" s="1"/>
  <c r="E209" i="17" s="1"/>
  <c r="E210" i="17" s="1"/>
  <c r="E211" i="17" s="1"/>
  <c r="E212" i="17" s="1"/>
  <c r="E213" i="17" s="1"/>
  <c r="E214" i="17" s="1"/>
  <c r="E215" i="17" s="1"/>
  <c r="E216" i="17" s="1"/>
  <c r="E218" i="17"/>
  <c r="D218" i="17"/>
  <c r="E24" i="26"/>
  <c r="F195" i="17"/>
  <c r="D22" i="26"/>
  <c r="C193" i="17"/>
  <c r="M47" i="26"/>
  <c r="D47" i="67"/>
  <c r="M47" i="67" s="1"/>
  <c r="D59" i="68" l="1"/>
  <c r="F59" i="68" s="1"/>
  <c r="O47" i="67"/>
  <c r="N47" i="67"/>
  <c r="E59" i="68" s="1"/>
  <c r="O47" i="26"/>
  <c r="N47" i="26"/>
  <c r="E59" i="2" s="1"/>
  <c r="D59" i="2"/>
  <c r="F59" i="2" s="1"/>
  <c r="D23" i="26"/>
  <c r="C194" i="17"/>
  <c r="D22" i="67"/>
  <c r="M22" i="67" s="1"/>
  <c r="M22" i="26"/>
  <c r="E25" i="26"/>
  <c r="E25" i="67" s="1"/>
  <c r="F196" i="17"/>
  <c r="E24" i="67"/>
  <c r="E26" i="26" l="1"/>
  <c r="F197" i="17"/>
  <c r="O22" i="67"/>
  <c r="N22" i="67"/>
  <c r="D34" i="68"/>
  <c r="D34" i="2"/>
  <c r="N22" i="26"/>
  <c r="O22" i="26"/>
  <c r="D24" i="26"/>
  <c r="C195" i="17"/>
  <c r="D23" i="67"/>
  <c r="M23" i="67" s="1"/>
  <c r="M23" i="26"/>
  <c r="D24" i="67" l="1"/>
  <c r="M24" i="67" s="1"/>
  <c r="M24" i="26"/>
  <c r="E34" i="2"/>
  <c r="D35" i="68"/>
  <c r="F35" i="68" s="1"/>
  <c r="O23" i="67"/>
  <c r="N23" i="67"/>
  <c r="E35" i="68" s="1"/>
  <c r="E34" i="68"/>
  <c r="O23" i="26"/>
  <c r="N23" i="26"/>
  <c r="E35" i="2" s="1"/>
  <c r="D35" i="2"/>
  <c r="F35" i="2" s="1"/>
  <c r="D25" i="26"/>
  <c r="C196" i="17"/>
  <c r="F34" i="2"/>
  <c r="F34" i="68"/>
  <c r="E27" i="26"/>
  <c r="E27" i="67" s="1"/>
  <c r="F198" i="17"/>
  <c r="E26" i="67"/>
  <c r="D26" i="26" l="1"/>
  <c r="C197" i="17"/>
  <c r="E28" i="26"/>
  <c r="E28" i="67" s="1"/>
  <c r="F199" i="17"/>
  <c r="M25" i="26"/>
  <c r="D25" i="67"/>
  <c r="M25" i="67" s="1"/>
  <c r="D36" i="2"/>
  <c r="F36" i="2" s="1"/>
  <c r="O24" i="26"/>
  <c r="N24" i="26"/>
  <c r="E36" i="2" s="1"/>
  <c r="O24" i="67"/>
  <c r="N24" i="67"/>
  <c r="E36" i="68" s="1"/>
  <c r="D36" i="68"/>
  <c r="F36" i="68" s="1"/>
  <c r="E29" i="26" l="1"/>
  <c r="E29" i="67" s="1"/>
  <c r="F200" i="17"/>
  <c r="O25" i="26"/>
  <c r="D37" i="2"/>
  <c r="N25" i="26"/>
  <c r="E37" i="2" s="1"/>
  <c r="D27" i="26"/>
  <c r="C198" i="17"/>
  <c r="D26" i="67"/>
  <c r="M26" i="67" s="1"/>
  <c r="M26" i="26"/>
  <c r="O25" i="67"/>
  <c r="D37" i="68"/>
  <c r="N25" i="67"/>
  <c r="E37" i="68" s="1"/>
  <c r="N26" i="26" l="1"/>
  <c r="E38" i="2" s="1"/>
  <c r="D38" i="2"/>
  <c r="F38" i="2" s="1"/>
  <c r="O26" i="26"/>
  <c r="F37" i="2"/>
  <c r="E30" i="26"/>
  <c r="E30" i="67" s="1"/>
  <c r="F201" i="17"/>
  <c r="D38" i="68"/>
  <c r="F38" i="68" s="1"/>
  <c r="N26" i="67"/>
  <c r="E38" i="68" s="1"/>
  <c r="O26" i="67"/>
  <c r="M27" i="26"/>
  <c r="D27" i="67"/>
  <c r="M27" i="67" s="1"/>
  <c r="F37" i="68"/>
  <c r="D28" i="26"/>
  <c r="C199" i="17"/>
  <c r="E31" i="26" l="1"/>
  <c r="E31" i="67" s="1"/>
  <c r="F202" i="17"/>
  <c r="D29" i="26"/>
  <c r="C200" i="17"/>
  <c r="O27" i="26"/>
  <c r="N27" i="26"/>
  <c r="E39" i="2" s="1"/>
  <c r="D39" i="2"/>
  <c r="M28" i="26"/>
  <c r="D28" i="67"/>
  <c r="M28" i="67" s="1"/>
  <c r="D39" i="68"/>
  <c r="F39" i="68" s="1"/>
  <c r="N27" i="67"/>
  <c r="E39" i="68" s="1"/>
  <c r="O27" i="67"/>
  <c r="F39" i="2" l="1"/>
  <c r="D40" i="2"/>
  <c r="F40" i="2" s="1"/>
  <c r="N28" i="26"/>
  <c r="E40" i="2" s="1"/>
  <c r="O28" i="26"/>
  <c r="D30" i="26"/>
  <c r="C201" i="17"/>
  <c r="N28" i="67"/>
  <c r="E40" i="68" s="1"/>
  <c r="D40" i="68"/>
  <c r="F40" i="68" s="1"/>
  <c r="O28" i="67"/>
  <c r="E32" i="26"/>
  <c r="E32" i="67" s="1"/>
  <c r="F203" i="17"/>
  <c r="M29" i="26"/>
  <c r="D29" i="67"/>
  <c r="M29" i="67" s="1"/>
  <c r="D41" i="2" l="1"/>
  <c r="F41" i="2" s="1"/>
  <c r="N29" i="26"/>
  <c r="E41" i="2" s="1"/>
  <c r="O29" i="26"/>
  <c r="D31" i="26"/>
  <c r="C202" i="17"/>
  <c r="D41" i="68"/>
  <c r="F41" i="68" s="1"/>
  <c r="O29" i="67"/>
  <c r="N29" i="67"/>
  <c r="E41" i="68" s="1"/>
  <c r="E33" i="26"/>
  <c r="E33" i="67" s="1"/>
  <c r="F204" i="17"/>
  <c r="M30" i="26"/>
  <c r="D30" i="67"/>
  <c r="M30" i="67" s="1"/>
  <c r="E34" i="26" l="1"/>
  <c r="E34" i="67" s="1"/>
  <c r="F205" i="17"/>
  <c r="O30" i="26"/>
  <c r="N30" i="26"/>
  <c r="E42" i="2" s="1"/>
  <c r="D42" i="2"/>
  <c r="F42" i="2" s="1"/>
  <c r="D32" i="26"/>
  <c r="C203" i="17"/>
  <c r="O30" i="67"/>
  <c r="N30" i="67"/>
  <c r="E42" i="68" s="1"/>
  <c r="D42" i="68"/>
  <c r="F42" i="68" s="1"/>
  <c r="M31" i="26"/>
  <c r="D31" i="67"/>
  <c r="M31" i="67" s="1"/>
  <c r="N31" i="67" l="1"/>
  <c r="E43" i="68" s="1"/>
  <c r="O31" i="67"/>
  <c r="D43" i="68"/>
  <c r="F43" i="68" s="1"/>
  <c r="D43" i="2"/>
  <c r="F43" i="2" s="1"/>
  <c r="O31" i="26"/>
  <c r="N31" i="26"/>
  <c r="E43" i="2" s="1"/>
  <c r="D33" i="26"/>
  <c r="C204" i="17"/>
  <c r="D32" i="67"/>
  <c r="M32" i="67" s="1"/>
  <c r="M32" i="26"/>
  <c r="E35" i="26"/>
  <c r="E35" i="67" s="1"/>
  <c r="F206" i="17"/>
  <c r="O32" i="67" l="1"/>
  <c r="D44" i="68"/>
  <c r="F44" i="68" s="1"/>
  <c r="N32" i="67"/>
  <c r="E44" i="68" s="1"/>
  <c r="N32" i="26"/>
  <c r="E44" i="2" s="1"/>
  <c r="O32" i="26"/>
  <c r="D44" i="2"/>
  <c r="F44" i="2" s="1"/>
  <c r="E36" i="26"/>
  <c r="E36" i="67" s="1"/>
  <c r="F207" i="17"/>
  <c r="D34" i="26"/>
  <c r="C205" i="17"/>
  <c r="D33" i="67"/>
  <c r="M33" i="67" s="1"/>
  <c r="M33" i="26"/>
  <c r="M34" i="26" l="1"/>
  <c r="D34" i="67"/>
  <c r="M34" i="67" s="1"/>
  <c r="O33" i="26"/>
  <c r="D45" i="2"/>
  <c r="F45" i="2" s="1"/>
  <c r="N33" i="26"/>
  <c r="E45" i="2" s="1"/>
  <c r="N33" i="67"/>
  <c r="E45" i="68" s="1"/>
  <c r="O33" i="67"/>
  <c r="D45" i="68"/>
  <c r="F45" i="68" s="1"/>
  <c r="D35" i="26"/>
  <c r="C206" i="17"/>
  <c r="E37" i="26"/>
  <c r="E37" i="67" s="1"/>
  <c r="F208" i="17"/>
  <c r="D36" i="26" l="1"/>
  <c r="C207" i="17"/>
  <c r="E38" i="26"/>
  <c r="E38" i="67" s="1"/>
  <c r="F209" i="17"/>
  <c r="M35" i="26"/>
  <c r="D35" i="67"/>
  <c r="M35" i="67" s="1"/>
  <c r="O34" i="67"/>
  <c r="N34" i="67"/>
  <c r="E46" i="68" s="1"/>
  <c r="D46" i="68"/>
  <c r="F46" i="68" s="1"/>
  <c r="N34" i="26"/>
  <c r="E46" i="2" s="1"/>
  <c r="D46" i="2"/>
  <c r="F46" i="2" s="1"/>
  <c r="O34" i="26"/>
  <c r="O35" i="67" l="1"/>
  <c r="N35" i="67"/>
  <c r="E47" i="68" s="1"/>
  <c r="D47" i="68"/>
  <c r="F47" i="68" s="1"/>
  <c r="D47" i="2"/>
  <c r="F47" i="2" s="1"/>
  <c r="N35" i="26"/>
  <c r="E47" i="2" s="1"/>
  <c r="O35" i="26"/>
  <c r="E39" i="26"/>
  <c r="E39" i="67" s="1"/>
  <c r="F210" i="17"/>
  <c r="D37" i="26"/>
  <c r="C208" i="17"/>
  <c r="M36" i="26"/>
  <c r="D36" i="67"/>
  <c r="M36" i="67" s="1"/>
  <c r="E40" i="26" l="1"/>
  <c r="E40" i="67" s="1"/>
  <c r="F211" i="17"/>
  <c r="D48" i="2"/>
  <c r="F48" i="2" s="1"/>
  <c r="O36" i="26"/>
  <c r="N36" i="26"/>
  <c r="E48" i="2" s="1"/>
  <c r="O36" i="67"/>
  <c r="N36" i="67"/>
  <c r="E48" i="68" s="1"/>
  <c r="D48" i="68"/>
  <c r="F48" i="68" s="1"/>
  <c r="D38" i="26"/>
  <c r="C209" i="17"/>
  <c r="M37" i="26"/>
  <c r="D37" i="67"/>
  <c r="M37" i="67" s="1"/>
  <c r="D39" i="26" l="1"/>
  <c r="C210" i="17"/>
  <c r="O37" i="67"/>
  <c r="N37" i="67"/>
  <c r="E49" i="68" s="1"/>
  <c r="D49" i="68"/>
  <c r="F49" i="68" s="1"/>
  <c r="M38" i="26"/>
  <c r="D38" i="67"/>
  <c r="M38" i="67" s="1"/>
  <c r="D49" i="2"/>
  <c r="F49" i="2" s="1"/>
  <c r="N37" i="26"/>
  <c r="E49" i="2" s="1"/>
  <c r="O37" i="26"/>
  <c r="E41" i="26"/>
  <c r="E41" i="67" s="1"/>
  <c r="F212" i="17"/>
  <c r="O38" i="67" l="1"/>
  <c r="D50" i="68"/>
  <c r="F50" i="68" s="1"/>
  <c r="N38" i="67"/>
  <c r="E50" i="68" s="1"/>
  <c r="E42" i="26"/>
  <c r="E42" i="67" s="1"/>
  <c r="F213" i="17"/>
  <c r="D50" i="2"/>
  <c r="F50" i="2" s="1"/>
  <c r="N38" i="26"/>
  <c r="E50" i="2" s="1"/>
  <c r="O38" i="26"/>
  <c r="D40" i="26"/>
  <c r="C211" i="17"/>
  <c r="D39" i="67"/>
  <c r="M39" i="67" s="1"/>
  <c r="M39" i="26"/>
  <c r="D51" i="2" l="1"/>
  <c r="F51" i="2" s="1"/>
  <c r="N39" i="26"/>
  <c r="E51" i="2" s="1"/>
  <c r="O39" i="26"/>
  <c r="D51" i="68"/>
  <c r="F51" i="68" s="1"/>
  <c r="N39" i="67"/>
  <c r="E51" i="68" s="1"/>
  <c r="O39" i="67"/>
  <c r="D40" i="67"/>
  <c r="M40" i="67" s="1"/>
  <c r="M40" i="26"/>
  <c r="E43" i="26"/>
  <c r="E43" i="67" s="1"/>
  <c r="F214" i="17"/>
  <c r="D41" i="26"/>
  <c r="C212" i="17"/>
  <c r="E44" i="26" l="1"/>
  <c r="E44" i="67" s="1"/>
  <c r="F215" i="17"/>
  <c r="D42" i="26"/>
  <c r="C213" i="17"/>
  <c r="D41" i="67"/>
  <c r="M41" i="67" s="1"/>
  <c r="M41" i="26"/>
  <c r="D52" i="2"/>
  <c r="F52" i="2" s="1"/>
  <c r="O40" i="26"/>
  <c r="N40" i="26"/>
  <c r="E52" i="2" s="1"/>
  <c r="N40" i="67"/>
  <c r="E52" i="68" s="1"/>
  <c r="O40" i="67"/>
  <c r="D52" i="68"/>
  <c r="F52" i="68" s="1"/>
  <c r="N41" i="67" l="1"/>
  <c r="E53" i="68" s="1"/>
  <c r="O41" i="67"/>
  <c r="D53" i="68"/>
  <c r="F53" i="68" s="1"/>
  <c r="D42" i="67"/>
  <c r="M42" i="67" s="1"/>
  <c r="M42" i="26"/>
  <c r="N41" i="26"/>
  <c r="E53" i="2" s="1"/>
  <c r="D53" i="2"/>
  <c r="F53" i="2" s="1"/>
  <c r="O41" i="26"/>
  <c r="D43" i="26"/>
  <c r="C214" i="17"/>
  <c r="E45" i="26"/>
  <c r="E45" i="67" s="1"/>
  <c r="F216" i="17"/>
  <c r="E46" i="26" l="1"/>
  <c r="F218" i="17"/>
  <c r="D44" i="26"/>
  <c r="C215" i="17"/>
  <c r="E46" i="67"/>
  <c r="E52" i="26"/>
  <c r="M43" i="26"/>
  <c r="D43" i="67"/>
  <c r="M43" i="67" s="1"/>
  <c r="D54" i="2"/>
  <c r="F54" i="2" s="1"/>
  <c r="N42" i="26"/>
  <c r="E54" i="2" s="1"/>
  <c r="O42" i="26"/>
  <c r="D54" i="68"/>
  <c r="F54" i="68" s="1"/>
  <c r="N42" i="67"/>
  <c r="E54" i="68" s="1"/>
  <c r="O42" i="67"/>
  <c r="N43" i="67" l="1"/>
  <c r="E55" i="68" s="1"/>
  <c r="O43" i="67"/>
  <c r="D55" i="68"/>
  <c r="F55" i="68" s="1"/>
  <c r="D45" i="26"/>
  <c r="C216" i="17"/>
  <c r="C218" i="17" s="1"/>
  <c r="E52" i="67"/>
  <c r="C11" i="29"/>
  <c r="D11" i="29" s="1"/>
  <c r="E11" i="29" s="1"/>
  <c r="M44" i="26"/>
  <c r="D44" i="67"/>
  <c r="M44" i="67" s="1"/>
  <c r="D55" i="2"/>
  <c r="F55" i="2" s="1"/>
  <c r="O43" i="26"/>
  <c r="N43" i="26"/>
  <c r="E55" i="2" s="1"/>
  <c r="D56" i="2" l="1"/>
  <c r="F56" i="2" s="1"/>
  <c r="O44" i="26"/>
  <c r="N44" i="26"/>
  <c r="E56" i="2" s="1"/>
  <c r="D56" i="68"/>
  <c r="F56" i="68" s="1"/>
  <c r="O44" i="67"/>
  <c r="N44" i="67"/>
  <c r="E56" i="68" s="1"/>
  <c r="D46" i="26"/>
  <c r="D45" i="67"/>
  <c r="M45" i="67" s="1"/>
  <c r="M45" i="26"/>
  <c r="D46" i="67" l="1"/>
  <c r="M46" i="67" s="1"/>
  <c r="M46" i="26"/>
  <c r="D52" i="26"/>
  <c r="D57" i="2"/>
  <c r="F57" i="2" s="1"/>
  <c r="O45" i="26"/>
  <c r="N45" i="26"/>
  <c r="E57" i="2" s="1"/>
  <c r="D57" i="68"/>
  <c r="F57" i="68" s="1"/>
  <c r="N45" i="67"/>
  <c r="E57" i="68" s="1"/>
  <c r="O45" i="67"/>
  <c r="C10" i="29" l="1"/>
  <c r="D52" i="67"/>
  <c r="N46" i="26"/>
  <c r="O46" i="26"/>
  <c r="O52" i="26" s="1"/>
  <c r="D58" i="2"/>
  <c r="M52" i="26"/>
  <c r="D58" i="68"/>
  <c r="N46" i="67"/>
  <c r="O46" i="67"/>
  <c r="O52" i="67" s="1"/>
  <c r="M52" i="67"/>
  <c r="E58" i="68" l="1"/>
  <c r="E60" i="68" s="1"/>
  <c r="N52" i="67"/>
  <c r="F58" i="68"/>
  <c r="F60" i="68" s="1"/>
  <c r="D60" i="68"/>
  <c r="F58" i="2"/>
  <c r="F60" i="2" s="1"/>
  <c r="D60" i="2"/>
  <c r="E58" i="2"/>
  <c r="E60" i="2" s="1"/>
  <c r="N52" i="26"/>
  <c r="C13" i="29"/>
  <c r="D10" i="29"/>
  <c r="F19" i="2" l="1"/>
  <c r="F18" i="2"/>
  <c r="E10" i="29"/>
  <c r="D13" i="29"/>
  <c r="E13" i="29" s="1"/>
  <c r="F17" i="2"/>
  <c r="F14" i="2"/>
  <c r="F16" i="2" s="1"/>
  <c r="F18" i="68"/>
  <c r="F19" i="68"/>
  <c r="F14" i="68"/>
  <c r="F16" i="68" s="1"/>
  <c r="F17" i="68"/>
  <c r="G134" i="17"/>
  <c r="G175" i="17" s="1"/>
  <c r="G64" i="17"/>
  <c r="G105" i="17" s="1"/>
  <c r="G65" i="17" l="1"/>
  <c r="G19" i="11" a="1"/>
  <c r="G19" i="11" s="1"/>
  <c r="G146" i="17"/>
  <c r="G106" i="17" l="1"/>
  <c r="G66" i="17"/>
  <c r="G31" i="11" a="1"/>
  <c r="G31" i="11" s="1"/>
  <c r="G67" i="17" l="1"/>
  <c r="G107" i="17"/>
  <c r="G147" i="17"/>
  <c r="G20" i="11" a="1"/>
  <c r="G20" i="11" s="1"/>
  <c r="G189" i="17"/>
  <c r="G32" i="11" l="1" a="1"/>
  <c r="G32" i="11" s="1"/>
  <c r="G148" i="17"/>
  <c r="G21" i="11" a="1"/>
  <c r="G21" i="11" s="1"/>
  <c r="G108" i="17"/>
  <c r="G68" i="17"/>
  <c r="G109" i="17" l="1"/>
  <c r="G69" i="17"/>
  <c r="G149" i="17"/>
  <c r="G190" i="17"/>
  <c r="G33" i="11" a="1"/>
  <c r="G33" i="11" s="1"/>
  <c r="G191" i="17" l="1"/>
  <c r="G150" i="17"/>
  <c r="G110" i="17"/>
  <c r="G70" i="17"/>
  <c r="G151" i="17" l="1"/>
  <c r="G71" i="17"/>
  <c r="G111" i="17"/>
  <c r="G152" i="17" l="1"/>
  <c r="G112" i="17"/>
  <c r="G72" i="17"/>
  <c r="G153" i="17" l="1"/>
  <c r="G73" i="17"/>
  <c r="G113" i="17"/>
  <c r="G74" i="17" l="1"/>
  <c r="G114" i="17"/>
  <c r="G154" i="17"/>
  <c r="G115" i="17" l="1"/>
  <c r="G75" i="17"/>
  <c r="G155" i="17"/>
  <c r="G76" i="17" l="1"/>
  <c r="G116" i="17"/>
  <c r="G156" i="17"/>
  <c r="G157" i="17" l="1"/>
  <c r="G77" i="17"/>
  <c r="G117" i="17"/>
  <c r="G158" i="17" l="1"/>
  <c r="G78" i="17"/>
  <c r="G118" i="17"/>
  <c r="G159" i="17" l="1"/>
  <c r="G119" i="17"/>
  <c r="G79" i="17"/>
  <c r="G120" i="17" l="1"/>
  <c r="G80" i="17"/>
  <c r="G160" i="17"/>
  <c r="G121" i="17" l="1"/>
  <c r="G81" i="17"/>
  <c r="G161" i="17"/>
  <c r="G122" i="17" l="1"/>
  <c r="G82" i="17"/>
  <c r="G162" i="17"/>
  <c r="G123" i="17" l="1"/>
  <c r="G83" i="17"/>
  <c r="G163" i="17"/>
  <c r="G84" i="17" l="1"/>
  <c r="G124" i="17"/>
  <c r="G164" i="17"/>
  <c r="G165" i="17" l="1"/>
  <c r="G85" i="17"/>
  <c r="G125" i="17"/>
  <c r="G166" i="17" l="1"/>
  <c r="G86" i="17"/>
  <c r="G126" i="17"/>
  <c r="G167" i="17" l="1"/>
  <c r="G87" i="17"/>
  <c r="G127" i="17"/>
  <c r="G168" i="17" l="1"/>
  <c r="G128" i="17"/>
  <c r="G88" i="17"/>
  <c r="G89" i="17" l="1"/>
  <c r="G129" i="17"/>
  <c r="G169" i="17"/>
  <c r="G170" i="17" l="1"/>
  <c r="G130" i="17"/>
  <c r="G90" i="17"/>
  <c r="G131" i="17" l="1"/>
  <c r="G91" i="17"/>
  <c r="G171" i="17"/>
  <c r="G92" i="17" l="1"/>
  <c r="G94" i="17" s="1"/>
  <c r="G132" i="17"/>
  <c r="G172" i="17"/>
  <c r="G133" i="17" l="1"/>
  <c r="G173" i="17"/>
  <c r="G135" i="17"/>
  <c r="G24" i="11"/>
  <c r="G174" i="17" l="1"/>
  <c r="G176" i="17" s="1"/>
  <c r="G41" i="11" s="1"/>
  <c r="G23" i="11" a="1"/>
  <c r="G23" i="11" s="1"/>
  <c r="G36" i="11" l="1"/>
  <c r="G35" i="11" a="1"/>
  <c r="G35" i="11" s="1"/>
  <c r="G217" i="17" l="1"/>
  <c r="G192" i="17" l="1"/>
  <c r="G193" i="17" l="1"/>
  <c r="G194" i="17" s="1"/>
  <c r="G195" i="17" s="1"/>
  <c r="G196" i="17" s="1"/>
  <c r="G197" i="17"/>
  <c r="G198" i="17" l="1"/>
  <c r="G199" i="17" l="1"/>
  <c r="G200" i="17" l="1"/>
  <c r="G201" i="17" l="1"/>
  <c r="G202" i="17" l="1"/>
  <c r="G203" i="17" l="1"/>
  <c r="G204" i="17" l="1"/>
  <c r="G205" i="17" l="1"/>
  <c r="G206" i="17" l="1"/>
  <c r="G207" i="17" l="1"/>
  <c r="G208" i="17" l="1"/>
  <c r="G209" i="17" l="1"/>
  <c r="G210" i="17" l="1"/>
  <c r="G211" i="17" l="1"/>
  <c r="G212" i="17" l="1"/>
  <c r="G213" i="17" l="1"/>
  <c r="G214" i="17" l="1"/>
  <c r="G215" i="17" l="1"/>
  <c r="G216" i="17" l="1"/>
  <c r="G218" i="17" s="1"/>
  <c r="H30" i="11" a="1"/>
  <c r="H30" i="11" s="1"/>
  <c r="I93" i="17"/>
  <c r="H134" i="17"/>
  <c r="H175" i="17" s="1"/>
  <c r="I175" i="17" s="1"/>
  <c r="H64" i="17"/>
  <c r="I64" i="17" s="1"/>
  <c r="I134" i="17" l="1"/>
  <c r="H188" i="17"/>
  <c r="I188" i="17" s="1"/>
  <c r="I30" i="11"/>
  <c r="H105" i="17"/>
  <c r="H65" i="17"/>
  <c r="H19" i="11" l="1" a="1"/>
  <c r="H19" i="11" s="1"/>
  <c r="I19" i="11" s="1"/>
  <c r="H146" i="17"/>
  <c r="I105" i="17"/>
  <c r="H106" i="17"/>
  <c r="I65" i="17"/>
  <c r="H66" i="17"/>
  <c r="I146" i="17" l="1"/>
  <c r="H31" i="11" a="1"/>
  <c r="H31" i="11" s="1"/>
  <c r="H107" i="17"/>
  <c r="H67" i="17"/>
  <c r="I66" i="17"/>
  <c r="H20" i="11" a="1"/>
  <c r="H20" i="11" s="1"/>
  <c r="I20" i="11" s="1"/>
  <c r="H147" i="17"/>
  <c r="I106" i="17"/>
  <c r="I31" i="11" l="1"/>
  <c r="H189" i="17"/>
  <c r="I189" i="17" s="1"/>
  <c r="H32" i="11" a="1"/>
  <c r="H32" i="11" s="1"/>
  <c r="I147" i="17"/>
  <c r="I67" i="17"/>
  <c r="H68" i="17"/>
  <c r="H108" i="17"/>
  <c r="H148" i="17"/>
  <c r="I107" i="17"/>
  <c r="H21" i="11" a="1"/>
  <c r="H21" i="11" s="1"/>
  <c r="I21" i="11" s="1"/>
  <c r="H33" i="11" l="1" a="1"/>
  <c r="H33" i="11" s="1"/>
  <c r="I148" i="17"/>
  <c r="I108" i="17"/>
  <c r="H149" i="17"/>
  <c r="I149" i="17" s="1"/>
  <c r="H69" i="17"/>
  <c r="I68" i="17"/>
  <c r="H109" i="17"/>
  <c r="I32" i="11"/>
  <c r="H190" i="17"/>
  <c r="I190" i="17" s="1"/>
  <c r="I69" i="17" l="1"/>
  <c r="H110" i="17"/>
  <c r="H70" i="17"/>
  <c r="H150" i="17"/>
  <c r="I109" i="17"/>
  <c r="H191" i="17"/>
  <c r="I191" i="17" s="1"/>
  <c r="I33" i="11"/>
  <c r="I150" i="17" l="1"/>
  <c r="I70" i="17"/>
  <c r="H111" i="17"/>
  <c r="H71" i="17"/>
  <c r="I110" i="17"/>
  <c r="H151" i="17"/>
  <c r="I151" i="17" s="1"/>
  <c r="H72" i="17" l="1"/>
  <c r="I71" i="17"/>
  <c r="H112" i="17"/>
  <c r="I111" i="17"/>
  <c r="H152" i="17"/>
  <c r="I152" i="17" s="1"/>
  <c r="I112" i="17" l="1"/>
  <c r="H153" i="17"/>
  <c r="I153" i="17" s="1"/>
  <c r="I72" i="17"/>
  <c r="H113" i="17"/>
  <c r="H73" i="17"/>
  <c r="I113" i="17" l="1"/>
  <c r="H154" i="17"/>
  <c r="I154" i="17" s="1"/>
  <c r="H114" i="17"/>
  <c r="I73" i="17"/>
  <c r="H74" i="17"/>
  <c r="H115" i="17" l="1"/>
  <c r="H75" i="17"/>
  <c r="I74" i="17"/>
  <c r="H155" i="17"/>
  <c r="I155" i="17" s="1"/>
  <c r="I114" i="17"/>
  <c r="I75" i="17" l="1"/>
  <c r="H116" i="17"/>
  <c r="H76" i="17"/>
  <c r="H156" i="17"/>
  <c r="I156" i="17" s="1"/>
  <c r="I115" i="17"/>
  <c r="H117" i="17" l="1"/>
  <c r="H77" i="17"/>
  <c r="I76" i="17"/>
  <c r="I116" i="17"/>
  <c r="H157" i="17"/>
  <c r="I157" i="17" s="1"/>
  <c r="I77" i="17" l="1"/>
  <c r="H78" i="17"/>
  <c r="H118" i="17"/>
  <c r="H158" i="17"/>
  <c r="I158" i="17" s="1"/>
  <c r="I117" i="17"/>
  <c r="I118" i="17" l="1"/>
  <c r="H159" i="17"/>
  <c r="I159" i="17" s="1"/>
  <c r="I78" i="17"/>
  <c r="H119" i="17"/>
  <c r="H79" i="17"/>
  <c r="I79" i="17" l="1"/>
  <c r="H120" i="17"/>
  <c r="H80" i="17"/>
  <c r="H160" i="17"/>
  <c r="I160" i="17" s="1"/>
  <c r="I119" i="17"/>
  <c r="H121" i="17" l="1"/>
  <c r="I80" i="17"/>
  <c r="H81" i="17"/>
  <c r="H161" i="17"/>
  <c r="I161" i="17" s="1"/>
  <c r="I120" i="17"/>
  <c r="I81" i="17" l="1"/>
  <c r="H122" i="17"/>
  <c r="H82" i="17"/>
  <c r="H162" i="17"/>
  <c r="I162" i="17" s="1"/>
  <c r="I121" i="17"/>
  <c r="H83" i="17" l="1"/>
  <c r="H123" i="17"/>
  <c r="I82" i="17"/>
  <c r="I122" i="17"/>
  <c r="H163" i="17"/>
  <c r="I163" i="17" s="1"/>
  <c r="I123" i="17" l="1"/>
  <c r="H164" i="17"/>
  <c r="I164" i="17" s="1"/>
  <c r="H124" i="17"/>
  <c r="I83" i="17"/>
  <c r="H84" i="17"/>
  <c r="H85" i="17" l="1"/>
  <c r="I84" i="17"/>
  <c r="H125" i="17"/>
  <c r="I124" i="17"/>
  <c r="H165" i="17"/>
  <c r="I165" i="17" s="1"/>
  <c r="I125" i="17" l="1"/>
  <c r="H166" i="17"/>
  <c r="I166" i="17" s="1"/>
  <c r="I85" i="17"/>
  <c r="H126" i="17"/>
  <c r="H86" i="17"/>
  <c r="H87" i="17" l="1"/>
  <c r="I86" i="17"/>
  <c r="H127" i="17"/>
  <c r="H167" i="17"/>
  <c r="I167" i="17" s="1"/>
  <c r="I126" i="17"/>
  <c r="I127" i="17" l="1"/>
  <c r="H168" i="17"/>
  <c r="I168" i="17" s="1"/>
  <c r="H88" i="17"/>
  <c r="I87" i="17"/>
  <c r="H128" i="17"/>
  <c r="H169" i="17" l="1"/>
  <c r="I169" i="17" s="1"/>
  <c r="I128" i="17"/>
  <c r="H89" i="17"/>
  <c r="I88" i="17"/>
  <c r="H129" i="17"/>
  <c r="I129" i="17" l="1"/>
  <c r="H170" i="17"/>
  <c r="I170" i="17" s="1"/>
  <c r="H130" i="17"/>
  <c r="H90" i="17"/>
  <c r="I89" i="17"/>
  <c r="H91" i="17" l="1"/>
  <c r="I90" i="17"/>
  <c r="H131" i="17"/>
  <c r="H171" i="17"/>
  <c r="I171" i="17" s="1"/>
  <c r="I130" i="17"/>
  <c r="H172" i="17" l="1"/>
  <c r="I172" i="17" s="1"/>
  <c r="I131" i="17"/>
  <c r="H132" i="17"/>
  <c r="H92" i="17"/>
  <c r="I91" i="17"/>
  <c r="H133" i="17" l="1"/>
  <c r="I92" i="17"/>
  <c r="I94" i="17" s="1"/>
  <c r="H94" i="17"/>
  <c r="I132" i="17"/>
  <c r="H173" i="17"/>
  <c r="I173" i="17" s="1"/>
  <c r="H174" i="17" l="1"/>
  <c r="I133" i="17"/>
  <c r="H23" i="11" a="1"/>
  <c r="H23" i="11" s="1"/>
  <c r="I23" i="11" s="1"/>
  <c r="H135" i="17"/>
  <c r="H24" i="11"/>
  <c r="I24" i="11" l="1"/>
  <c r="I135" i="17"/>
  <c r="H35" i="11" a="1"/>
  <c r="H35" i="11" s="1"/>
  <c r="I174" i="17"/>
  <c r="H36" i="11"/>
  <c r="H176" i="17"/>
  <c r="H41" i="11" s="1"/>
  <c r="H217" i="17" l="1"/>
  <c r="I35" i="11"/>
  <c r="I36" i="11"/>
  <c r="I176" i="17"/>
  <c r="I41" i="11" s="1"/>
  <c r="H192" i="17" l="1"/>
  <c r="I217" i="17"/>
  <c r="I192" i="17" l="1"/>
  <c r="H193" i="17"/>
  <c r="I193" i="17" l="1"/>
  <c r="H194" i="17"/>
  <c r="I194" i="17" l="1"/>
  <c r="H195" i="17"/>
  <c r="I195" i="17" l="1"/>
  <c r="H196" i="17"/>
  <c r="I196" i="17" l="1"/>
  <c r="H197" i="17"/>
  <c r="I197" i="17" l="1"/>
  <c r="H198" i="17"/>
  <c r="I198" i="17" l="1"/>
  <c r="H199" i="17"/>
  <c r="I199" i="17" l="1"/>
  <c r="H200" i="17"/>
  <c r="I200" i="17" l="1"/>
  <c r="H201" i="17"/>
  <c r="I201" i="17" l="1"/>
  <c r="H202" i="17"/>
  <c r="I202" i="17" l="1"/>
  <c r="H203" i="17"/>
  <c r="I203" i="17" l="1"/>
  <c r="H204" i="17"/>
  <c r="I204" i="17" l="1"/>
  <c r="H205" i="17"/>
  <c r="I205" i="17" l="1"/>
  <c r="H206" i="17"/>
  <c r="I206" i="17" l="1"/>
  <c r="H207" i="17"/>
  <c r="I207" i="17" l="1"/>
  <c r="H208" i="17"/>
  <c r="I208" i="17" l="1"/>
  <c r="H209" i="17"/>
  <c r="I209" i="17" l="1"/>
  <c r="H210" i="17"/>
  <c r="I210" i="17" l="1"/>
  <c r="H211" i="17"/>
  <c r="I211" i="17" l="1"/>
  <c r="H212" i="17"/>
  <c r="I212" i="17" l="1"/>
  <c r="H213" i="17"/>
  <c r="I213" i="17" l="1"/>
  <c r="H214" i="17"/>
  <c r="I214" i="17" l="1"/>
  <c r="H215" i="17"/>
  <c r="I215" i="17" l="1"/>
  <c r="H216" i="17"/>
  <c r="I216" i="17" l="1"/>
  <c r="I218" i="17" s="1"/>
  <c r="H218" i="1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<sst xmlns="http://schemas.openxmlformats.org/spreadsheetml/2006/main" count="1954" uniqueCount="646">
  <si>
    <t>Project Benefit-Cost Analysis (BCA) Summary</t>
  </si>
  <si>
    <t>Project Name:</t>
  </si>
  <si>
    <t>Component:</t>
  </si>
  <si>
    <t>Both Components, [1] Missing Moves and [2] Quonset Connector Ramps</t>
  </si>
  <si>
    <t>Date:</t>
  </si>
  <si>
    <r>
      <rPr>
        <sz val="10"/>
        <rFont val="ArialMT"/>
      </rPr>
      <t xml:space="preserve">This project will generate considerable safety, emissions, and time travel savings, which more than offset the cost of construction, work zone impacts, and long-term maintenance costs. The project's costs and benefits are summarized here, and reported in more detail in the "Project B&amp;C Backup by Year" tab, which aggregates the annual benefits and costs from each area of this Benefit-Cost Analysis (BCA). 
This project has a </t>
    </r>
    <r>
      <rPr>
        <b/>
        <sz val="10"/>
        <rFont val="ArialMT"/>
      </rPr>
      <t>favorable benefit-cost ratio of 2.18, and a net present value (NPV) of $134,680,926.58</t>
    </r>
    <r>
      <rPr>
        <b/>
        <u/>
        <sz val="10"/>
        <rFont val="ArialMT"/>
      </rPr>
      <t>,</t>
    </r>
    <r>
      <rPr>
        <b/>
        <sz val="10"/>
        <rFont val="ArialMT"/>
      </rPr>
      <t xml:space="preserve"> </t>
    </r>
    <r>
      <rPr>
        <sz val="10"/>
        <rFont val="ArialMT"/>
      </rPr>
      <t xml:space="preserve">indicating that </t>
    </r>
    <r>
      <rPr>
        <b/>
        <sz val="10"/>
        <rFont val="ArialMT"/>
      </rPr>
      <t>the Completing the I-95 Missing Move and Quonset Connector Ramps Project</t>
    </r>
    <r>
      <rPr>
        <sz val="10"/>
        <rFont val="ArialMT"/>
      </rPr>
      <t xml:space="preserve"> </t>
    </r>
    <r>
      <rPr>
        <b/>
        <sz val="10"/>
        <rFont val="ArialMT"/>
      </rPr>
      <t>is a worthwhile and cost-effective investment.</t>
    </r>
    <r>
      <rPr>
        <sz val="10"/>
        <rFont val="ArialMT"/>
      </rPr>
      <t xml:space="preserve"> 
</t>
    </r>
    <r>
      <rPr>
        <sz val="10"/>
        <color rgb="FFFF0000"/>
        <rFont val="ArialMT"/>
      </rPr>
      <t xml:space="preserve">
</t>
    </r>
    <r>
      <rPr>
        <sz val="10"/>
        <rFont val="ArialMT"/>
      </rPr>
      <t xml:space="preserve">Following a recommendation from USDOT, this BCA separates the two components of this project to evaluate their costs and benefits separately. The tabs pertaining to Component 1, The Missing Moves at I-95 and RI-4, are each labeled with the prefix "MM_" for "Missing Moves." The tabs pertaining to Component 2, the Quonset Connector Ramps, are labeled with the prefix "Q_", for "Quonset". 
</t>
    </r>
    <r>
      <rPr>
        <sz val="10"/>
        <color rgb="FFFF0000"/>
        <rFont val="ArialMT"/>
      </rPr>
      <t xml:space="preserve">
</t>
    </r>
    <r>
      <rPr>
        <sz val="10"/>
        <rFont val="ArialMT"/>
      </rPr>
      <t xml:space="preserve">In each section of this BCA, Component 1 costs and benefits appear first, followed by Component 2. This tab and its companion tab, "ALL_ES-2. B&amp;C Summary Backup," tabulate the total costs and benefits of this entire project as a whole. Both components have positive B-C ratios, making each component independently worthwhile and cost-effective investments. However, because the two components complement one another in completing an essential freeway link for freight travel, RIDOT and its co-applicant Quonset Development Corporation (QDC) recommend delivery of the two components as a single project, and preliminary engineering work to date has combined the two components under one contract.
</t>
    </r>
    <r>
      <rPr>
        <b/>
        <sz val="10"/>
        <rFont val="ArialMT"/>
      </rPr>
      <t xml:space="preserve">Table ES-1.1 </t>
    </r>
    <r>
      <rPr>
        <sz val="10"/>
        <rFont val="ArialMT"/>
      </rPr>
      <t xml:space="preserve">summarizes the project's costs and benefits.
</t>
    </r>
    <r>
      <rPr>
        <b/>
        <sz val="10"/>
        <rFont val="ArialMT"/>
      </rPr>
      <t xml:space="preserve">Table ES-1.2 </t>
    </r>
    <r>
      <rPr>
        <sz val="10"/>
        <rFont val="ArialMT"/>
      </rPr>
      <t xml:space="preserve">shows the calculation of the project's benefits by year, discounted at both the primary (7%) and alternative (3%) discount rates.
</t>
    </r>
    <r>
      <rPr>
        <b/>
        <sz val="10"/>
        <rFont val="ArialMT"/>
      </rPr>
      <t xml:space="preserve">Table ES-1.3 </t>
    </r>
    <r>
      <rPr>
        <sz val="10"/>
        <rFont val="ArialMT"/>
      </rPr>
      <t xml:space="preserve">summarizes the project's costs by year, discounted at both the primary (7%) and alternative (3%) discount rates. </t>
    </r>
  </si>
  <si>
    <t>Table ES-1.1 Summary of Project Costs and Benefits</t>
  </si>
  <si>
    <t>Item</t>
  </si>
  <si>
    <t>Value</t>
  </si>
  <si>
    <t>Project Benefits Evaluation Period 
(Years, post-substantial completion)</t>
  </si>
  <si>
    <t>Primary Discount Rate:</t>
  </si>
  <si>
    <t>Alternative Discount Rate:</t>
  </si>
  <si>
    <t>Present Value Benefit (7%):</t>
  </si>
  <si>
    <t>Present Value Cost (7%):</t>
  </si>
  <si>
    <t>Project Benefit-Cost Ratio (7%):</t>
  </si>
  <si>
    <t>Net Present Value (NPV) (7%)</t>
  </si>
  <si>
    <t>Alternative B-C Ratio (3%)</t>
  </si>
  <si>
    <t>Alternative NPV (3%)</t>
  </si>
  <si>
    <t>Table ES-1.2 Project Benefits by Year</t>
  </si>
  <si>
    <t>Table ES-1.3 Project Costs by Year</t>
  </si>
  <si>
    <t>Year#</t>
  </si>
  <si>
    <t>Year</t>
  </si>
  <si>
    <t>Present Value (PV) Project Benefits</t>
  </si>
  <si>
    <t>Project Benefits at 7% Discount Rate*</t>
  </si>
  <si>
    <t>Project Benefits at 3% Discount Rate</t>
  </si>
  <si>
    <t>Present Value (PV) Project Costs</t>
  </si>
  <si>
    <t>Project Costs at 7% Discount Rate</t>
  </si>
  <si>
    <t>Project Costs at 3% Discount Rate</t>
  </si>
  <si>
    <t>Total</t>
  </si>
  <si>
    <t>Component 1, The Missing Moves</t>
  </si>
  <si>
    <r>
      <rPr>
        <sz val="10"/>
        <rFont val="ArialMT"/>
      </rPr>
      <t xml:space="preserve">This tab provides a summary of project costs and benefits by year. 
</t>
    </r>
    <r>
      <rPr>
        <b/>
        <sz val="10"/>
        <rFont val="ArialMT"/>
      </rPr>
      <t xml:space="preserve">
Table ES-2.1 </t>
    </r>
    <r>
      <rPr>
        <sz val="10"/>
        <rFont val="ArialMT"/>
      </rPr>
      <t xml:space="preserve">shows all project benefits by year. 
</t>
    </r>
    <r>
      <rPr>
        <b/>
        <sz val="10"/>
        <rFont val="ArialMT"/>
      </rPr>
      <t xml:space="preserve">Table ES-2.2 </t>
    </r>
    <r>
      <rPr>
        <sz val="10"/>
        <rFont val="ArialMT"/>
      </rPr>
      <t>shows all project costs by year.
All estimates of project benefits and costs are derived from calculations presented in tabs 1 thru 12. All methodological assumptions and data sources are provided on the relevant sheets.</t>
    </r>
  </si>
  <si>
    <t>Table ES-2.1 Project Benefits by Year</t>
  </si>
  <si>
    <t>Year #</t>
  </si>
  <si>
    <t>Safety Benefits</t>
  </si>
  <si>
    <r>
      <t>Emissions Benefits, NOT Including CO</t>
    </r>
    <r>
      <rPr>
        <b/>
        <vertAlign val="subscript"/>
        <sz val="10"/>
        <color theme="1"/>
        <rFont val="ArialMT"/>
      </rPr>
      <t>2</t>
    </r>
  </si>
  <si>
    <r>
      <t>Emissions Benefits, CO</t>
    </r>
    <r>
      <rPr>
        <b/>
        <vertAlign val="subscript"/>
        <sz val="10"/>
        <color theme="1"/>
        <rFont val="ArialMT"/>
      </rPr>
      <t>2</t>
    </r>
    <r>
      <rPr>
        <b/>
        <sz val="10"/>
        <color theme="1"/>
        <rFont val="ArialMT"/>
      </rPr>
      <t xml:space="preserve"> Only</t>
    </r>
  </si>
  <si>
    <t>Travel Time Savings Benefits</t>
  </si>
  <si>
    <t>Foregone Cost Savings</t>
  </si>
  <si>
    <t>Work Zone Disbenefits</t>
  </si>
  <si>
    <t>Transit Facility Benefits</t>
  </si>
  <si>
    <t>Pedestrian Facility Benefits</t>
  </si>
  <si>
    <t>Cycling Facility Benefits</t>
  </si>
  <si>
    <t>Mortality Reduction Benefits</t>
  </si>
  <si>
    <t>TOTAL BENEFITS</t>
  </si>
  <si>
    <r>
      <t>TOTAL BENEFITS at 7% Discount Rate
(CO</t>
    </r>
    <r>
      <rPr>
        <b/>
        <vertAlign val="subscript"/>
        <sz val="10"/>
        <color theme="1"/>
        <rFont val="ArialMT"/>
      </rPr>
      <t>2</t>
    </r>
    <r>
      <rPr>
        <b/>
        <sz val="10"/>
        <color theme="1"/>
        <rFont val="ArialMT"/>
      </rPr>
      <t xml:space="preserve"> Discounted at 3% per NOFO)</t>
    </r>
  </si>
  <si>
    <t>TOTAL BENEFITS at 3% Discount Rate</t>
  </si>
  <si>
    <t>Present Value Benefits</t>
  </si>
  <si>
    <t>Table ES-2.2 Project Costs by Year</t>
  </si>
  <si>
    <t>Future Eligible Project Costs</t>
  </si>
  <si>
    <t>Lifecycle Management Costs</t>
  </si>
  <si>
    <t>TOTAL COSTS</t>
  </si>
  <si>
    <t>TOTAL COSTS at 7% Discount Rate</t>
  </si>
  <si>
    <t>TOTAL COSTS at 3% Discount Rate</t>
  </si>
  <si>
    <t>Present Value Costs</t>
  </si>
  <si>
    <r>
      <t xml:space="preserve">Component 1 of this project , the Missing Moves, will generate considerable safety, emissions, and time travel savings, which more than offset the cost of construction, work zone impacts, and long-term maintenance costs. The project's costs and benefits are summarized here, and reported in more detail in the "Project B&amp;C Backup by Year" tab, which aggregates the annual benefits and costs from each area of this Benefit-Cost Analysis. 
Component 1 of this project has a </t>
    </r>
    <r>
      <rPr>
        <b/>
        <sz val="10"/>
        <rFont val="ArialMT"/>
      </rPr>
      <t>favorable benefit-cost ratio of 2.17 and a net present value (NPV) of $</t>
    </r>
    <r>
      <rPr>
        <b/>
        <u/>
        <sz val="10"/>
        <rFont val="ArialMT"/>
      </rPr>
      <t>91,729,383.89,</t>
    </r>
    <r>
      <rPr>
        <b/>
        <sz val="10"/>
        <rFont val="ArialMT"/>
      </rPr>
      <t xml:space="preserve"> </t>
    </r>
    <r>
      <rPr>
        <sz val="10"/>
        <rFont val="ArialMT"/>
      </rPr>
      <t xml:space="preserve">indicating that </t>
    </r>
    <r>
      <rPr>
        <b/>
        <sz val="10"/>
        <rFont val="ArialMT"/>
      </rPr>
      <t>Component 1 of the Completing the I-95 Missing Moves and Quonset Connector Ramps project</t>
    </r>
    <r>
      <rPr>
        <sz val="10"/>
        <rFont val="ArialMT"/>
      </rPr>
      <t xml:space="preserve"> </t>
    </r>
    <r>
      <rPr>
        <b/>
        <sz val="10"/>
        <rFont val="ArialMT"/>
      </rPr>
      <t>is a worthwhile and cost-effective investment.</t>
    </r>
    <r>
      <rPr>
        <sz val="10"/>
        <rFont val="ArialMT"/>
      </rPr>
      <t xml:space="preserve"> 
</t>
    </r>
    <r>
      <rPr>
        <b/>
        <sz val="10"/>
        <rFont val="ArialMT"/>
      </rPr>
      <t xml:space="preserve">Table ES-1.1 </t>
    </r>
    <r>
      <rPr>
        <sz val="10"/>
        <rFont val="ArialMT"/>
      </rPr>
      <t xml:space="preserve">summarizes the project's costs and benefits.
</t>
    </r>
    <r>
      <rPr>
        <b/>
        <sz val="10"/>
        <rFont val="ArialMT"/>
      </rPr>
      <t xml:space="preserve">Table ES-1.2 </t>
    </r>
    <r>
      <rPr>
        <sz val="10"/>
        <rFont val="ArialMT"/>
      </rPr>
      <t xml:space="preserve">shows the calculation of the project's benefits by year, discounted at both the primary (7%) and alternative (3%) discount rates.
</t>
    </r>
    <r>
      <rPr>
        <b/>
        <sz val="10"/>
        <rFont val="ArialMT"/>
      </rPr>
      <t xml:space="preserve">Table ES-1.3 </t>
    </r>
    <r>
      <rPr>
        <sz val="10"/>
        <rFont val="ArialMT"/>
      </rPr>
      <t xml:space="preserve">summarizes the project's costs by year, discounted at both the primary (7%) and alternative (3%) discount rates. </t>
    </r>
  </si>
  <si>
    <r>
      <rPr>
        <sz val="10"/>
        <rFont val="ArialMT"/>
      </rPr>
      <t xml:space="preserve">This tab provides a summary of project costs and benefits by year. 
</t>
    </r>
    <r>
      <rPr>
        <b/>
        <sz val="10"/>
        <rFont val="ArialMT"/>
      </rPr>
      <t xml:space="preserve">
Table ES-2.1 </t>
    </r>
    <r>
      <rPr>
        <sz val="10"/>
        <rFont val="ArialMT"/>
      </rPr>
      <t xml:space="preserve">shows all project benefits by year. 
</t>
    </r>
    <r>
      <rPr>
        <b/>
        <sz val="10"/>
        <rFont val="ArialMT"/>
      </rPr>
      <t xml:space="preserve">Table ES-2.2 </t>
    </r>
    <r>
      <rPr>
        <sz val="10"/>
        <rFont val="ArialMT"/>
      </rPr>
      <t>shows all project costs by year.
All estimates of project benefits and costs are derived from calculations presented in tabs 1 thrugh 12. All methodological assumptions and data sources are provided on the relevant sheets.</t>
    </r>
  </si>
  <si>
    <t>Component 2, The Quonset Connector Ramps</t>
  </si>
  <si>
    <r>
      <t xml:space="preserve">Component 2 of this project , the Quonset Connector Ramps, will generate considerable safety, emissions, and time travel savings, which more than offset the cost of construction, work zone impacts, and long-term maintenance costs. The project's costs and benefits are summarized here, and reported in more detail in the "Project B&amp;C Backup by Year" tab, which aggregates the annual benefits and costs from each area of this Benefit-Cost Analysis. 
Component 2 of this project has a </t>
    </r>
    <r>
      <rPr>
        <b/>
        <sz val="10"/>
        <rFont val="ArialMT"/>
      </rPr>
      <t>favorable benefit-cost ratio of 2.21 and a net present value (NPV) of $</t>
    </r>
    <r>
      <rPr>
        <b/>
        <u/>
        <sz val="10"/>
        <rFont val="ArialMT"/>
      </rPr>
      <t>42,951,542.69,</t>
    </r>
    <r>
      <rPr>
        <b/>
        <sz val="10"/>
        <rFont val="ArialMT"/>
      </rPr>
      <t xml:space="preserve"> </t>
    </r>
    <r>
      <rPr>
        <sz val="10"/>
        <rFont val="ArialMT"/>
      </rPr>
      <t xml:space="preserve">indicating that </t>
    </r>
    <r>
      <rPr>
        <b/>
        <sz val="10"/>
        <rFont val="ArialMT"/>
      </rPr>
      <t>Component 2 of the Completing the I-95 Missing Moves and Quonset Connector Ramps project</t>
    </r>
    <r>
      <rPr>
        <sz val="10"/>
        <rFont val="ArialMT"/>
      </rPr>
      <t xml:space="preserve"> </t>
    </r>
    <r>
      <rPr>
        <b/>
        <sz val="10"/>
        <rFont val="ArialMT"/>
      </rPr>
      <t>is a worthwhile and cost-effective investment.</t>
    </r>
    <r>
      <rPr>
        <sz val="10"/>
        <rFont val="ArialMT"/>
      </rPr>
      <t xml:space="preserve"> 
</t>
    </r>
    <r>
      <rPr>
        <b/>
        <sz val="10"/>
        <rFont val="ArialMT"/>
      </rPr>
      <t xml:space="preserve">Table ES-1.1 </t>
    </r>
    <r>
      <rPr>
        <sz val="10"/>
        <rFont val="ArialMT"/>
      </rPr>
      <t xml:space="preserve">summarizes the project's costs and benefits.
</t>
    </r>
    <r>
      <rPr>
        <b/>
        <sz val="10"/>
        <rFont val="ArialMT"/>
      </rPr>
      <t xml:space="preserve">Table ES-1.2 </t>
    </r>
    <r>
      <rPr>
        <sz val="10"/>
        <rFont val="ArialMT"/>
      </rPr>
      <t xml:space="preserve">shows the calculation of the project's benefits by year, discounted at both the primary (7%) and alternative (3%) discount rates.
</t>
    </r>
    <r>
      <rPr>
        <b/>
        <sz val="10"/>
        <rFont val="ArialMT"/>
      </rPr>
      <t xml:space="preserve">Table ES-1.3 </t>
    </r>
    <r>
      <rPr>
        <sz val="10"/>
        <rFont val="ArialMT"/>
      </rPr>
      <t xml:space="preserve">summarizes the project's costs by year, discounted at both the primary (7%) and alternative (3%) discount rates. </t>
    </r>
  </si>
  <si>
    <t>Freight Rating</t>
  </si>
  <si>
    <t>Rebuilding the East Avenue Corridor</t>
  </si>
  <si>
    <r>
      <t xml:space="preserve">From the U.S. Department of Transportation's "Benefit-Cost Analysis Guidance for Discretionary Grant Programs," each project in the most recent round of INFRA funding would be assigned a "Freight Rating," which will be "three tiered, based on the share of quantifiable benefits which are attributable project impacts to freight movement." The tiers are as follows: 
•  Projects for which 20% or more of the quantifiable benefits are attributable to project impacts on freight movement will be designated as having </t>
    </r>
    <r>
      <rPr>
        <b/>
        <sz val="10"/>
        <color theme="1"/>
        <rFont val="ArialMT"/>
      </rPr>
      <t>substantial</t>
    </r>
    <r>
      <rPr>
        <sz val="10"/>
        <color theme="1"/>
        <rFont val="ArialMT"/>
      </rPr>
      <t xml:space="preserve"> freight benefits; 
•  Projects in which those benefits within a 5-20% range will be designated as a project with </t>
    </r>
    <r>
      <rPr>
        <b/>
        <sz val="10"/>
        <color theme="1"/>
        <rFont val="ArialMT"/>
      </rPr>
      <t>moderate</t>
    </r>
    <r>
      <rPr>
        <sz val="10"/>
        <color theme="1"/>
        <rFont val="ArialMT"/>
      </rPr>
      <t xml:space="preserve"> freight benefits; and 
•  Projects for which less than 5% of the quantifiable benefits fall into this category to be designated as having </t>
    </r>
    <r>
      <rPr>
        <b/>
        <sz val="10"/>
        <color theme="1"/>
        <rFont val="ArialMT"/>
      </rPr>
      <t>incidental</t>
    </r>
    <r>
      <rPr>
        <sz val="10"/>
        <color theme="1"/>
        <rFont val="ArialMT"/>
      </rPr>
      <t xml:space="preserve"> freight benefits.
RIDOT has elected to perform this calculation for RAISE projects as well. This benefit-cost analysis estimates that </t>
    </r>
    <r>
      <rPr>
        <b/>
        <sz val="10"/>
        <rFont val="ArialMT"/>
      </rPr>
      <t>6.36%</t>
    </r>
    <r>
      <rPr>
        <sz val="10"/>
        <color theme="1"/>
        <rFont val="ArialMT"/>
      </rPr>
      <t xml:space="preserve"> of the quantifiable benefits associated with this project are attributable to impacts on freight movement. This calculation assumes the following:
•  The proportion of safety benefits attributanle to freight is equal to the proportion of commercial trucks in the route network (6%); 
•  The proportion of emissions benefits attrubutable to freight is equal to the share of all GHG emissions attributed to medium- and heavy-duty trucks according to the EPA</t>
    </r>
    <r>
      <rPr>
        <vertAlign val="superscript"/>
        <sz val="10"/>
        <color theme="1"/>
        <rFont val="ArialMT"/>
      </rPr>
      <t>1</t>
    </r>
    <r>
      <rPr>
        <sz val="10"/>
        <color theme="1"/>
        <rFont val="ArialMT"/>
      </rPr>
      <t xml:space="preserve"> (23%); and
•  The share of travel time savings benefits is calculated directly from the monetization of commercial truck travel documented throughout this BCA. 
As a result, this project may be designated as having </t>
    </r>
    <r>
      <rPr>
        <b/>
        <sz val="10"/>
        <color theme="1"/>
        <rFont val="ArialMT"/>
      </rPr>
      <t>moderate</t>
    </r>
    <r>
      <rPr>
        <sz val="10"/>
        <color theme="1"/>
        <rFont val="ArialMT"/>
      </rPr>
      <t xml:space="preserve"> freight benefits.
1. https://www.epa.gov/greenvehicles/fast-facts-transportation-greenhouse-gas-emissions 
</t>
    </r>
  </si>
  <si>
    <t>Table 1. Project Benefits Summary</t>
  </si>
  <si>
    <t>Benefit Category</t>
  </si>
  <si>
    <t>Total Benefit (Present Value)</t>
  </si>
  <si>
    <t>Freight Portion</t>
  </si>
  <si>
    <t>Freight Share</t>
  </si>
  <si>
    <t>Safety</t>
  </si>
  <si>
    <r>
      <t>Emissions, NOT Including CO</t>
    </r>
    <r>
      <rPr>
        <vertAlign val="subscript"/>
        <sz val="10"/>
        <color theme="1"/>
        <rFont val="ArialMT"/>
      </rPr>
      <t>2</t>
    </r>
  </si>
  <si>
    <r>
      <t>Emissions, CO</t>
    </r>
    <r>
      <rPr>
        <vertAlign val="subscript"/>
        <sz val="10"/>
        <color theme="1"/>
        <rFont val="ArialMT"/>
      </rPr>
      <t>2</t>
    </r>
    <r>
      <rPr>
        <sz val="10"/>
        <color theme="1"/>
        <rFont val="ArialMT"/>
      </rPr>
      <t xml:space="preserve"> Only</t>
    </r>
  </si>
  <si>
    <t>Time Travel Savings</t>
  </si>
  <si>
    <r>
      <t xml:space="preserve">This tab provides a summary of project costs and benefits by year. 
</t>
    </r>
    <r>
      <rPr>
        <b/>
        <sz val="10"/>
        <rFont val="ArialMT"/>
      </rPr>
      <t xml:space="preserve">
Table ES-2.1 </t>
    </r>
    <r>
      <rPr>
        <sz val="10"/>
        <rFont val="ArialMT"/>
      </rPr>
      <t xml:space="preserve">shows all project benefits by year. 
</t>
    </r>
    <r>
      <rPr>
        <b/>
        <sz val="10"/>
        <rFont val="ArialMT"/>
      </rPr>
      <t xml:space="preserve">Table ES-2.2 </t>
    </r>
    <r>
      <rPr>
        <sz val="10"/>
        <rFont val="ArialMT"/>
      </rPr>
      <t>shows all project costs by year.
All estimates of project benefits and costs are derived from calculations presented in tabs 1 through 12. All methodological assumptions and data sources are provided on the relevant sheets.</t>
    </r>
  </si>
  <si>
    <t>1. Safety Benefits Summary</t>
  </si>
  <si>
    <r>
      <rPr>
        <sz val="10"/>
        <rFont val="ArialMT"/>
      </rPr>
      <t xml:space="preserve">This review also considers the safety impacts associated with constructing new ramps to expand connectivity between I-95 and Route 4. This change to the roadway network is not well represented by data in the Crash Modification Factor (CMF) Clearinghouse. For safety improvements on newly constructed assets, surrogates for crash modification factors were derived from a comparison of predictive analyses between no-build and preferred action scenarios and a local and national research review. 
When evaluating countermeasures crash modification factors (CMF) clearinghouse are used to determine the percentage decrease in crashes with the proposed improvements. CMF descriptions can be reviewed at cmfclearinghouse.org. When CMFs are not available for certain countermeasures, local and national research is reviewed and applied. This project is designed to reduce run-off-the-road crashes along horizontal curves by installing high-friction pavement on the Route 4 NB to I-95 NB curve. The assumed CMF for this improvement is CMF #10318, and CMF #10319. 
For both analyses, crash data were collected for the study area between January 1, 2016 and December 31, 2022.  From the U.S. Department of Transportation's "Benefit-Cost Analysis Guidance for Discretionary Grant Programs", the monetized value for the value of injuries were obtained to determine a monetary benefit.  
Safety impacts are summarized in the tables below. New ramp connections create some new merge, diverge, and weave areas on Route 4 and I-95. Given the high volume of vehicles traveling on Route 4 and I-95 the number of vehicles exposed to this change is high and not offset by the proportionally smaller number of vehicles benefiting from the new routing. Separate of the new ramp construction, the high friction surface treatment (pavement) on the Route 4 to I-95 curve provides a clear benefit for reducing run-off-the-road crashes. These benefits do not outweigh the risk associated with improved freeway connectivity. 
</t>
    </r>
    <r>
      <rPr>
        <sz val="10"/>
        <color rgb="FFFF0000"/>
        <rFont val="ArialMT"/>
      </rPr>
      <t xml:space="preserve">
</t>
    </r>
    <r>
      <rPr>
        <sz val="10"/>
        <rFont val="ArialMT"/>
      </rPr>
      <t>After considering both safety challenges and opportunities, the net change in crashes is approximately 18 additional crashes per year with a, estimated annual safety benefit averaging $0.6 million per year. While there is a small increase in crashes they are property damage only, low severity. The potential severe crash reductions outweight the low severity crash increases.</t>
    </r>
    <r>
      <rPr>
        <sz val="10"/>
        <color rgb="FFFF0000"/>
        <rFont val="ArialMT"/>
      </rPr>
      <t xml:space="preserve">
</t>
    </r>
    <r>
      <rPr>
        <sz val="10"/>
        <rFont val="ArialMT"/>
      </rPr>
      <t xml:space="preserve">
Despite crashes increasing there is still a measurable benefit because the severity of crashes is lower, the crashes that are projected are low severity injuries and property damage crashes. This can be attributed to lower speeds on the freeway in the vicinity of new, additional connections. This is also attributable to the high-friction surface treatment which addresses approximately 50% of all run-off-the-road crashes in that segment. While the goal is always to reduce crashes, reducing the most serious crashes (fatal and serious injury) provide an important benefit to society. This is consistent with the FHWA Safe System Approach which recognizes that every crash will not be preventable and a focus should be placed on severity. 
The assumptions, methodology, a description of the baseline scenario, source of data, and key input parameters are documented in Tab 1B as well as Appendix A-1.</t>
    </r>
  </si>
  <si>
    <t>Table 1-1. Safety Issue 1:</t>
  </si>
  <si>
    <t>Missing Move at I-95, Route 2, and Route 4 Interchange</t>
  </si>
  <si>
    <t>Countermeasure(s):</t>
  </si>
  <si>
    <t>Provide Missing Move Ramps Alt 2E - CMF Estimated using ISATe Build and No-Build Predictions for Design Year 2058, Added HFST for Exit Loop Ramps and Route 4 NB</t>
  </si>
  <si>
    <t>Crash Severity</t>
  </si>
  <si>
    <t>Total Crashes</t>
  </si>
  <si>
    <t>Number of Crashes per Year</t>
  </si>
  <si>
    <t>Crash Reduction Factor</t>
  </si>
  <si>
    <t>Predicted Annual Crash Reduction</t>
  </si>
  <si>
    <t>Value of Injuries</t>
  </si>
  <si>
    <t>Annual Savings</t>
  </si>
  <si>
    <t>O - No Injury</t>
  </si>
  <si>
    <t>C - Possible Injury</t>
  </si>
  <si>
    <t>B - Non-Incapacitating</t>
  </si>
  <si>
    <t>A - Incapacitating</t>
  </si>
  <si>
    <t>K - Killed</t>
  </si>
  <si>
    <t>U - Injured (Severity Unknown)</t>
  </si>
  <si>
    <t># Accidents Reported (Unknown if Injured)</t>
  </si>
  <si>
    <t>Injury Crash</t>
  </si>
  <si>
    <t>Fatal Crash</t>
  </si>
  <si>
    <t>Table 1-2. Safety Issue 2:</t>
  </si>
  <si>
    <t>Table 1-3. Safety Issue 3:</t>
  </si>
  <si>
    <t>Table 1-5. Safety Benefits Summary</t>
  </si>
  <si>
    <t>30-Year Total</t>
  </si>
  <si>
    <t>N/A</t>
  </si>
  <si>
    <t>1B. Safety Benefits Backup, All Years</t>
  </si>
  <si>
    <t>Assumptions</t>
  </si>
  <si>
    <t xml:space="preserve">The analysis assumes that crashes experienced over the 5 year period are consistent throughout the 30 year planning horizon. </t>
  </si>
  <si>
    <t>Methodology</t>
  </si>
  <si>
    <t>The analysis used the Highway Safety Manual (HSM) Part C methodology to estimate the potential change in safety performance. A no-build prediction was built using ISATe and other relevant HSM Spreadsheets using proposed traffic volumes with the development in 2058. A build prediction was also made for the 2058 volumes, then the two were compared to estimate a safety performance function (SPF). These were applied to an “existing” crash frequency, which was based on crash frequency at the site for 2016 through 2022 then grown to 2058 using the ratio between the no-build 2028 prediction and 2058 no-build prediction.</t>
  </si>
  <si>
    <t>Baseline</t>
  </si>
  <si>
    <t>The Existing Conditions model represents crashes between 2016 and  2022.</t>
  </si>
  <si>
    <t>Sources of Data</t>
  </si>
  <si>
    <t>RIDOT Crash Data 2016-2022; FHWA CMF Clearinghouse</t>
  </si>
  <si>
    <t>Key Input Parameters</t>
  </si>
  <si>
    <t xml:space="preserve">The model required crash frequency and severity derived from the RIDOT crash reports as well as Crash Modification Factors (form the FHWA Crash Modification Factor Clearinghouse) determined to be most appropriate to existing conditions. </t>
  </si>
  <si>
    <t>Table 1B-1. Safety Benefits by Year</t>
  </si>
  <si>
    <t>Traffic Count</t>
  </si>
  <si>
    <t>Estimated Total Crashes, No Build Scenario (Crashes/Yr)</t>
  </si>
  <si>
    <t>Estimated Total Crashes, Preferred Action Scenario</t>
  </si>
  <si>
    <t>Predicted Crash Reduction, Preferred Action Scenario (Crashes/Yr)</t>
  </si>
  <si>
    <t>Realized Safety Benefit ($/Year)</t>
  </si>
  <si>
    <r>
      <rPr>
        <sz val="10"/>
        <rFont val="ArialMT"/>
      </rPr>
      <t>This review considers the safety impacts associated with constructing 3 new ramps along Route 403. This change to the roadway network is not well represented by data in the Crash Modification Factor (CMF) Clearinghouse. When CMFs are not available for certain countermeasures, local and national research is reviewed and applied. Crash data was collected for the study area between January 1, 2016 and December 31, 2022. For safety improvements on newly constructed assets, surrogates for crash modification factors were derived from a comparison of predictive analyses between no-build and preferred action scenarios. From the U.S. Department of Transportation's "Benefit-Cost Analysis Guidance for Discretionary Grant Programs," the monetized value for the value of injuries were obtained to determine a monetary benefit.  
Safety impacts are summarized in the tables below. New ramp connections create some new merge, diverge, and weave areas on Route 403. Additionally, a higher volume of vehicles in a future condition (after significant development) increases exposure. These drawbacks are offset, however, by more efficient access and egress to/from the freeway which elminiates many conflict points (intersections) from the vehicle route. 
After considering both safety challenges and opportunities, the net benefit is a crash savings of approximately 30 crashes per year with a total estimated annual safety benefit attributable to this project is expected to average</t>
    </r>
    <r>
      <rPr>
        <b/>
        <sz val="10"/>
        <rFont val="ArialMT"/>
      </rPr>
      <t xml:space="preserve"> $0.1 million per year.
The assumptions, methodology, a description of the baseline scenario, source of data, and key input parameters are documented in Tab 1B as well as in Appendix A-1</t>
    </r>
  </si>
  <si>
    <t>Missing Ramps in Route 403 Interchange Areas</t>
  </si>
  <si>
    <t>Provide Missing Ramps - CMF Derived from comparison of predictive analyses for no-build, build in 2058 with proposed development</t>
  </si>
  <si>
    <t>2. Emissions Benefits Summary</t>
  </si>
  <si>
    <r>
      <rPr>
        <sz val="10"/>
        <rFont val="ArialMT"/>
      </rPr>
      <t>This project will benefit local air quality by improving transportation operations and reducing vehicle delay in the corridor. Improvements in air quality will benefit the area by reducing local pollutant concentrations and regional emissions reductions. 
An air quality study of the Project was conducted using traffic data developed with VISSIM to calculate Travel Time Savings. Emission factors for the study area were developed using the Motor Vehicle Emission Simulator model (MOVES3) developed by the US Environmental Protection Agency (EPA).  Emissions were analyzed for the first year of operations (2028) and design year (2058) for Baseline and Proposed Action alternatives. 
The Preferred Alternative will result in emission costs savings for all years of analysis. Reduced congestion across the network reduces the emissions sufficiently to counteract the</t>
    </r>
    <r>
      <rPr>
        <sz val="10"/>
        <color rgb="FFFF0000"/>
        <rFont val="ArialMT"/>
      </rPr>
      <t xml:space="preserve"> </t>
    </r>
    <r>
      <rPr>
        <sz val="10"/>
        <rFont val="ArialMT"/>
      </rPr>
      <t xml:space="preserve">expected increase in VMT resulting in an emissions benefit. This project will reduce emissions by a projected </t>
    </r>
    <r>
      <rPr>
        <b/>
        <sz val="10"/>
        <rFont val="ArialMT"/>
      </rPr>
      <t xml:space="preserve">732 </t>
    </r>
    <r>
      <rPr>
        <sz val="10"/>
        <rFont val="ArialMT"/>
      </rPr>
      <t xml:space="preserve">tons, a net savings of </t>
    </r>
    <r>
      <rPr>
        <b/>
        <sz val="10"/>
        <rFont val="ArialMT"/>
      </rPr>
      <t>$7.7 million</t>
    </r>
    <r>
      <rPr>
        <sz val="10"/>
        <rFont val="ArialMT"/>
      </rPr>
      <t xml:space="preserve"> over 30 years.</t>
    </r>
    <r>
      <rPr>
        <b/>
        <sz val="10"/>
        <rFont val="ArialMT"/>
      </rPr>
      <t xml:space="preserve">
The assumptions, methodology, a description of the baseline scenario, source of data, and key input parameters are documented in Tab 2B and Appendix A-3.</t>
    </r>
  </si>
  <si>
    <t>Table 2-1. Projected Emissions Reduction by Year, Selected Years (Metric Tons/Year)</t>
  </si>
  <si>
    <r>
      <t>NO</t>
    </r>
    <r>
      <rPr>
        <vertAlign val="subscript"/>
        <sz val="10"/>
        <color theme="1"/>
        <rFont val="ArialMT"/>
      </rPr>
      <t>X</t>
    </r>
  </si>
  <si>
    <t>SOx</t>
  </si>
  <si>
    <r>
      <t>PM</t>
    </r>
    <r>
      <rPr>
        <vertAlign val="subscript"/>
        <sz val="10"/>
        <color theme="1"/>
        <rFont val="Arial"/>
        <family val="2"/>
      </rPr>
      <t>2.5</t>
    </r>
  </si>
  <si>
    <r>
      <t>CO</t>
    </r>
    <r>
      <rPr>
        <vertAlign val="subscript"/>
        <sz val="10"/>
        <color theme="1"/>
        <rFont val="ArialMT"/>
      </rPr>
      <t>2</t>
    </r>
  </si>
  <si>
    <r>
      <t>PM</t>
    </r>
    <r>
      <rPr>
        <vertAlign val="subscript"/>
        <sz val="10"/>
        <color theme="1"/>
        <rFont val="Arial"/>
        <family val="2"/>
      </rPr>
      <t>10</t>
    </r>
  </si>
  <si>
    <t>VOC</t>
  </si>
  <si>
    <t>Average</t>
  </si>
  <si>
    <t>Table 2-2. Projected Monetary Benefit from Emissions Reductions by Year, Selected Years</t>
  </si>
  <si>
    <t>Table 2-3. Emissions Benefits Summary</t>
  </si>
  <si>
    <t>NOX</t>
  </si>
  <si>
    <t>PM2.5</t>
  </si>
  <si>
    <t>CO2</t>
  </si>
  <si>
    <t>PM10</t>
  </si>
  <si>
    <t>2028-2058</t>
  </si>
  <si>
    <t>2B. Emissions Benefits Backup, All Years</t>
  </si>
  <si>
    <t>The analysis relies on assumption made for the traffic analysis which assumes that traffic patterns remain consistent through this study area, however, traffic volumes will continue to grow at a rate of approximately 0.25% annually over the 30-year planning horizon with additional background trips added to account for the build out of Quonset Business Parkfor this analysis.  Quonset Business Park is projected to generate 5,000 jobs upon full buildout, a portion of which will travel through this study area.</t>
  </si>
  <si>
    <t>An air quality study of the Project was conducted using traffic data developed in the transportation analysis. Emission factors for the study area were developed using the Motor Vehicle Emission Simulator model (MOVES3) developed by the US Environmental Protection Agency. Emissions were analyzed for the first five years of operation (2023-2028) and the design year (2058). Analyses were conducted for the No Build and Build alternatives to determine the emissions reduction associated with the Project. The emission factors represent the corresponding year of the traffic modeling. The factors were derived by calculating a seasonal average during the evening peak hour with a representative vehicle mix. Oxides of Nitrogen (NOX), Sulfur Dioxide (SO2), Particulate Matter (PM2.5) and Carbon Dioxide (CO2) were studied based on the latest grant application guidance. Volatile Organic Compounds (VOC) and Particulate Matter 10 (PM10) emissions savings were included for informational purposes, but cost savings were not quantified per the latest grant application guidance.
Emissions reductions are scaled linearly by year between the opening and design years.</t>
  </si>
  <si>
    <t xml:space="preserve">The Existing Conditions model represents a 2028 No Build Mesoscale Air Quality Analysis </t>
  </si>
  <si>
    <t>Output from project's VISSIM microsimulation model</t>
  </si>
  <si>
    <t>Average speed; Vehicle Miles Traveled; Vehicle Hours Traveled</t>
  </si>
  <si>
    <t>Table 2B-1. Mesoscale Air Quality Analysis - Air Pollutants by Year, No-Build Scenario</t>
  </si>
  <si>
    <t>Table 2B-2. Mesoscale Air Quality Analysis - Air Pollutants by Year, Preferred Action Scenario</t>
  </si>
  <si>
    <t>Table 2B-3. Mesoscale Air Quality Analysis - Estimated Reduction in Air Pollutants by Year, Preferred Action Scenario</t>
  </si>
  <si>
    <t>Table 2B-4. Mesoscale Air Quality Analysis - Estimated Reduction in Air Pollutants by Year, Preferred Action Scenario</t>
  </si>
  <si>
    <t>Table 3B-4. ALTERNATE Emissions Backup for All Years in Analysis Window</t>
  </si>
  <si>
    <r>
      <rPr>
        <sz val="10"/>
        <rFont val="ArialMT"/>
      </rPr>
      <t xml:space="preserve">This project will benefit local air quality by improving transportation operations and reducing vehicle delay in the corridor. Improvements in air quality will benefit the area by reducing local pollutant concentrations and regional emissions reductions. 
An air quality study of the Project was conducted using traffic data developed with VISSIM to calculate Travel Time Savings. Emission factors for the study area were developed using the Motor Vehicle Emission Simulator model (MOVES3) developed by the US Environmental Protection Agency (EPA).  Emissions were analyzed for the first year of operations (2028) and design year (2058) for Baseline and Proposed Action alternatives. 
The Preferred Alternative will result in emission costs savings for all years of analysis. Reduced congestion across the network reduces the emissions sufficiently to counteract the expected increase in VMT resulting in an emissions benefit. This project will reduce generate a net greenhouse gas reduction savings of </t>
    </r>
    <r>
      <rPr>
        <b/>
        <sz val="10"/>
        <rFont val="ArialMT"/>
      </rPr>
      <t>$1.3 million</t>
    </r>
    <r>
      <rPr>
        <sz val="10"/>
        <rFont val="ArialMT"/>
      </rPr>
      <t xml:space="preserve"> over 30 years.</t>
    </r>
    <r>
      <rPr>
        <b/>
        <sz val="10"/>
        <rFont val="ArialMT"/>
      </rPr>
      <t xml:space="preserve">
The assumptions, methodology, a description of the baseline scenario, source of data, and key input parameters are documented in Tab 2B.</t>
    </r>
  </si>
  <si>
    <t>The analysis relies on assumption made for the traffic analysis which assumes that traffic patterns remain consistent through this study area, however, traffic volumes will continue to grow at a rate of approximately 0.25% annually over the 30-year planning horizon with additional background trips added to account for the build out of Quonset Business Parkfor this analysis.  Quonset Business Park is projected to generate 5,000 jobs upon full buildout.</t>
  </si>
  <si>
    <t>An air quality study of the Project was conducted using traffic data developed in the transportation analysis. Emission factors for the study area were developed using the Motor Vehicle Emission Simulator model (MOVES3) developed by the US Environmental Protection Agency. Emissions were analyzed for the first five years of operation (2028-2031) and the design year (2058). Analyses were conducted for the No Build and Build alternatives to determine the emissions reduction associated with the Project. The emission factors represent the corresponding year of the traffic modeling. The factors were derived by calculating a seasonal average during the evening peak hour with a representative vehicle mix. Oxides of Nitrogen (NOX), Sulfur Dioxide (SO2), Particulate Matter (PM2.5) and Carbon Dioxide (CO2) were studied based on the latest grant application guidance. Volatile Organic Compounds (VOC) and Particulate Matter 10 (PM10) emissions savings were included for informational purposes, but cost savings were not quantified per the latest grant application guidance.
Emissions reductions are scaled linearly by year between the opening and design years.</t>
  </si>
  <si>
    <t>3. Travel Time Savings Summary</t>
  </si>
  <si>
    <r>
      <rPr>
        <sz val="10"/>
        <rFont val="ArialMT"/>
      </rPr>
      <t xml:space="preserve">This project will reduce travel times and distance by providing more efficient access to the freeway at the critical junction of Route 4 at I-95. The proposed improvements in this project were conceived to allow traffic to flow through the network more easily through the construction of missing ramps connecting Route 4 and I-95 and to remove pass-through traffic from Route 2. 
This project will generate an estimated $1.4 million in travel time savings benefits in the first year of operations (2028). Over 30 years, travel time savings are total $795 million.
</t>
    </r>
    <r>
      <rPr>
        <b/>
        <sz val="10"/>
        <rFont val="ArialMT"/>
      </rPr>
      <t xml:space="preserve">
Assumptions, methodology, a description of the baseline scenario, source of data, and key input parameters are documented in Tabs 3B, 3C, and 3D and Appendix A-2. </t>
    </r>
  </si>
  <si>
    <t>Table 3-1. Travel Time Savings Benefits Summary, Opening Year (2028)</t>
  </si>
  <si>
    <t>Scenario</t>
  </si>
  <si>
    <t>Total Traffic in Network (Veh/Day)</t>
  </si>
  <si>
    <t>Vehicle Miles Traveled (VMT/Day)</t>
  </si>
  <si>
    <t>Vehicle Hours Traveled (VHT/Day)</t>
  </si>
  <si>
    <t>Average Speed (MPH)</t>
  </si>
  <si>
    <t>Average Delay (Hrs/Veh/Day)</t>
  </si>
  <si>
    <t>Travel Time Savings Benefit ($/Day)</t>
  </si>
  <si>
    <t>Annual Benefit ($/Year)</t>
  </si>
  <si>
    <t>2028 No-Build</t>
  </si>
  <si>
    <t>2028 Preferred Action</t>
  </si>
  <si>
    <t>Table 3-2. Travel Time Savings Benefits Summary, Design Year (2058)</t>
  </si>
  <si>
    <t>2058 No-Build</t>
  </si>
  <si>
    <t>2058 Preferred Action</t>
  </si>
  <si>
    <t>Table 3-3. Travel Time Savings Change Rates, 2028-2058</t>
  </si>
  <si>
    <t>Annual Change 
No-Build</t>
  </si>
  <si>
    <t>Annual Change 
Preferred Action</t>
  </si>
  <si>
    <t>Table 3.4 Travel Time Savings Summary</t>
  </si>
  <si>
    <t>Total Traffic in Network 
(Avg. Veh/Day)</t>
  </si>
  <si>
    <t>Vehicle Miles Traveled 
(Avg. VMT/Day)</t>
  </si>
  <si>
    <t>Vehicle Hours Traveled 
(Avg. VHT/Day)</t>
  </si>
  <si>
    <t>Total Delay
(Avg. Hours/Day)</t>
  </si>
  <si>
    <t>Travel Time Savings Benefit (Avg. $/Year)</t>
  </si>
  <si>
    <t>No-Build, 
2028-2058</t>
  </si>
  <si>
    <t>Preferred Action, 2028-2058</t>
  </si>
  <si>
    <t>3B. Travel Time Savings Backup, 2028 (Opening Year)</t>
  </si>
  <si>
    <r>
      <rPr>
        <sz val="10"/>
        <rFont val="ArialMT"/>
      </rPr>
      <t xml:space="preserve">The analysis assumes that traffic patterns remain consistent through this study area, however, traffic volumes will continue to grow at a rate of approximately 0.25% annually over the 5-year construction period and then 0.10% annually over the 30-year planning horizon for this analysis. Additionally, known development in the study area anticipated before Opening Year (2028) is also included as part of traffic growth. Quonset Business Park projects generating 5,000 new jobs upon full buildout, a portion of which will travel through this study area. </t>
    </r>
    <r>
      <rPr>
        <sz val="10"/>
        <color rgb="FFFF0000"/>
        <rFont val="ArialMT"/>
      </rPr>
      <t xml:space="preserve">
</t>
    </r>
    <r>
      <rPr>
        <sz val="10"/>
        <rFont val="ArialMT"/>
      </rPr>
      <t>Growth in delay times and volumes are assumed to be linear between the opening year and design year.</t>
    </r>
  </si>
  <si>
    <t>VISSIM microscopic traffic modelling software was used to project travel times through the study area for five different scenarios (2023 Existing, 2028 No-Build, 2028 Preferred Action - Opening Year, 2058 No-Build, and 2058 Preferred Action). Each scenarios was run for a 15-hour period from 5:00am-8:00pm for 10 iterations (random seeds) each. Model outputs included vehicles in the network, vehicle miles traveled, vehicle hours traveled, average speed, and average delay. 
In this tab (3B), 2028 travel time impacts are profiled for existing, no-action, and preferred action scenarios. In Tab 3C, no-action and preferred action scenarios are profiled for the design year (2058).
In Tab 3D, those inputs were then extended to annual impacts. 2028 impacts are calculated as a baseline benefits year, but benefits are not captured in that year as the project is expected to complete in late 2028.</t>
  </si>
  <si>
    <t xml:space="preserve">The Existing Condtion model represents a 2023 condition. </t>
  </si>
  <si>
    <t xml:space="preserve">Historic and 2022 turning movement counts and traffic volume data adjusted to represent a 2023 Existing Condition. </t>
  </si>
  <si>
    <t>The model outputs were monetized using the value of travel time savings and assumed vehicle occupancy rates provided by the Benefit Cost Analysis Guidance for Discretionary Grant Programs (March 2023).</t>
  </si>
  <si>
    <t>Table 3B-1. Project Limit Network MOEs Summary - Existing 2023 Conditions</t>
  </si>
  <si>
    <t>Time</t>
  </si>
  <si>
    <t>Total Vehicles in Network</t>
  </si>
  <si>
    <t>VMT: Total Path Distance (mi)</t>
  </si>
  <si>
    <t>VHT: Total Time in Network (hr)</t>
  </si>
  <si>
    <t>Average Speed (mph)</t>
  </si>
  <si>
    <t>Total Delay (hr)</t>
  </si>
  <si>
    <t>Average Delay (hr/veh)</t>
  </si>
  <si>
    <t>Table 3B-2. Delays by Vehicle Type, Existing 2023 Conditions</t>
  </si>
  <si>
    <t>Car Traffic Share</t>
  </si>
  <si>
    <t>Truck Traffic Share</t>
  </si>
  <si>
    <t>Car Traffic</t>
  </si>
  <si>
    <t>Car Delay 
(hrs)</t>
  </si>
  <si>
    <t>Truck Traffic</t>
  </si>
  <si>
    <t>Truck Delay (hrs)</t>
  </si>
  <si>
    <t>Table 3B-3. Project Limits Network MOEs Summary, Projected 2028 No-Action Conditions</t>
  </si>
  <si>
    <t>Table 3B-4. Delays by Vehicle Type, Projected 2028 No-Action Conditions</t>
  </si>
  <si>
    <t>Table 3B-5. Project Limits Network MOEs Summary - Projected 2028 (Opening Year) Proposed Action Conditions</t>
  </si>
  <si>
    <t>Total Vehicles Traveling Within the Network</t>
  </si>
  <si>
    <t>VHT: Total Time Within the Network (hr)</t>
  </si>
  <si>
    <t>Total Delay: All Vehicles (hr)</t>
  </si>
  <si>
    <t>Average Delay: Per Vehicle (hr/veh)</t>
  </si>
  <si>
    <t>Table 3B-6. Project Limits Network MOEs Summary - Projected 2028 (Opening Year) Proposed Action Delays</t>
  </si>
  <si>
    <t>Table 3B-7. Travel Time Savings Benefits Summary - Projected 2028 Conditions</t>
  </si>
  <si>
    <t>Car Delay Savings (hrs)</t>
  </si>
  <si>
    <t>Truck Delay Savings (hrs)</t>
  </si>
  <si>
    <t>Car Savings Benefits (Daily)</t>
  </si>
  <si>
    <t>Truck Savings Benefits (Daily)</t>
  </si>
  <si>
    <t>Total Benefits, Low (270 Days)</t>
  </si>
  <si>
    <t>Total Benefits, High (365 Days)</t>
  </si>
  <si>
    <t>3C. Travel Time Savings Backup, 2057 (Last Year of Analysis)</t>
  </si>
  <si>
    <t>Table 3C-1. Project Limit Network MOEs Summary - Projected 2058 No-Action Conditions</t>
  </si>
  <si>
    <t>Table 3C-2. Delays by Vehicle Type, Projected 2058 No-Action Conditions</t>
  </si>
  <si>
    <t>Table 3C-3. Project Limits Network MOEs Summary - Projected 2058 Proposed Action Conditions</t>
  </si>
  <si>
    <t>Table 3C-4. Project Limits Network MOEs Summary - Projected 2058 Delays, Proposed Action</t>
  </si>
  <si>
    <t>Table 4C-7. Travel Time Savings Benefits Summary - Projected 2058 Conditions</t>
  </si>
  <si>
    <t>3D. Travel Time Savings Backup 3, All Years</t>
  </si>
  <si>
    <t>Table 3D-1. Daily Project Limits Network MOEs Summary, No-Action Scenario by Year</t>
  </si>
  <si>
    <t>Total Delay (hrs/day)</t>
  </si>
  <si>
    <t>Table 3D-2. Daily Project Limits Network MOEs Summary, Preferred Action Scenario by Year</t>
  </si>
  <si>
    <t>Table 3D-3. Tavel Time Savings Benefits Summary, Preferred Action Scenario, All Years</t>
  </si>
  <si>
    <t>Car Delay Savings (Hrs/Day)</t>
  </si>
  <si>
    <t>Truck Delay Savings (Hrs/Day)</t>
  </si>
  <si>
    <t>Car Savings Benefits ($/Day)</t>
  </si>
  <si>
    <t>Truck Savings Benefits ($/Day)</t>
  </si>
  <si>
    <t>Annual Benefits, Low (270 Days)</t>
  </si>
  <si>
    <t>Annual Benefits, High (365 Days)</t>
  </si>
  <si>
    <r>
      <rPr>
        <sz val="10"/>
        <rFont val="ArialMT"/>
      </rPr>
      <t>This project will reduce travel times and distance by providing more efficient access to the freeway for the Quonset Development Corporation campus and adjacent community. The challenge of congestion and delay becomes more significant in future years as the Quonset Development Corporation continues to expand the campus. 
Traffic analyses for this application studied the network as a year-round trip generator and destination because it is home to commercial developments that are busy every day. The proposed improvements in this project were conceived to allow traffic to flow through the network more easily through the construction of missing ramps accessing Route 403 WB. The missing ramps provide more efficient connectivity to Route 403 removing commuter and commercial traffic from adjacent residential roads. The estimated shift in vehicles off of Devil's Foot Road and on to Route 403 is 2,500 vehicles per day. This is a mix is commuters working in the area and commercial vehicles that typically travel between sections of the QDC campus</t>
    </r>
    <r>
      <rPr>
        <sz val="10"/>
        <color rgb="FFFF0000"/>
        <rFont val="ArialMT"/>
      </rPr>
      <t xml:space="preserve">. 
</t>
    </r>
    <r>
      <rPr>
        <sz val="10"/>
        <rFont val="ArialMT"/>
      </rPr>
      <t xml:space="preserve">This project will generate an estimated $13.8 million in travel time savings benefits in the first year of operations (2028). Over 30 years, travel time savings are total $270.5 million.
</t>
    </r>
    <r>
      <rPr>
        <b/>
        <sz val="10"/>
        <rFont val="ArialMT"/>
      </rPr>
      <t xml:space="preserve">
Assumptions, methodology, a description of the baseline scenario, source of data, and key input parameters are documented in Tabs 3B, 3C, and 3D and in Appendix A-2.</t>
    </r>
  </si>
  <si>
    <t>3B. Travel Time Savings Backup, 2027 (Opening Year)</t>
  </si>
  <si>
    <t>The analysis assumes that traffic patterns remain consistent through this study area, however, traffic volumes will continue to grow at a rate of approximately 0.25% annually over the 30-year planning horizon for this analysis. Additionally, known development in the study area anticipated before Opening Year (2028) is also included as part of traffic growth. Quonset Business Park is projected to generate 5,000 new jobs upon full buildout. 
Growth in delay times and volumes are assumed to be linear between the opening year and design year.</t>
  </si>
  <si>
    <t>The model outputs were monetized using the value of travel time savings and assumed vehicle occupancy rates provided by the Benefit Cost Analysis Guidance for Discretionary Grant Programs (March 2022).</t>
  </si>
  <si>
    <t>Job Creation Benefit</t>
  </si>
  <si>
    <t>Constructing the Missing Move and the Quonset Ramps</t>
  </si>
  <si>
    <r>
      <t xml:space="preserve">From the 2014 Notice of Funding Availability (NOFA) for TIGER Grants, FHWA noted the following:
          "The Executive Office of the President, Council of Economic Advisers (CEA), issued a memorandum in May 2009 on “Estimates of Job Creation from the American Recovery and Reinvestment Act of 2009.” That memorandum provided a simple rule for estimating job-years created by government spending, which is that $92,000 of government spending creates one job-year (or 10,870 job-years per billion dollars of spending). More recently, in September 2011, based on further analysis both of actual job-creation experience from transportation projects under the Recovery Act and on further macroeconomic analysis, the CEA determined that a job-year is created by every </t>
    </r>
    <r>
      <rPr>
        <b/>
        <sz val="10"/>
        <color theme="1"/>
        <rFont val="Segoe UI"/>
        <family val="2"/>
      </rPr>
      <t>$76,923 in transportation infrastructure spending (or 13,000 job-years per billion dollars of transportation infrastructure spending).</t>
    </r>
    <r>
      <rPr>
        <sz val="10"/>
        <color theme="1"/>
        <rFont val="Segoe UI"/>
        <family val="2"/>
      </rPr>
      <t xml:space="preserve"> This figure can be used in place of the earlier $92,000/job-year estimate.
</t>
    </r>
    <r>
      <rPr>
        <b/>
        <sz val="10"/>
        <color theme="1"/>
        <rFont val="Segoe UI"/>
        <family val="2"/>
      </rPr>
      <t xml:space="preserve">
</t>
    </r>
    <r>
      <rPr>
        <sz val="10"/>
        <color theme="1"/>
        <rFont val="Segoe UI"/>
        <family val="2"/>
      </rPr>
      <t xml:space="preserve">In addition, a 2017 Georgetown University report, "Trillion Dollar Infrastructure Proposals Could Create Millions of Jobs," noted that "President Trump's infrastructure plan would create jobs for workers at every education level," anticipating the following breakdown for job distributions:
        •  55 percent would go to workers with a high school education or less.
        •  24 percent would go to workers with a postsecondary vocational certificate or some college education but no degree.
        •  8 percent would go to workers with an Associate’s degree.
        •  13 percent would go to workers with a Bachelor’s or advanced degree.
The report also provided estimates of typical salaries, both in infrastructure and non-infrastructure jobs. These inputs were used for the calculations presented below.
</t>
    </r>
    <r>
      <rPr>
        <b/>
        <sz val="10"/>
        <color theme="1"/>
        <rFont val="Segoe UI"/>
        <family val="2"/>
      </rPr>
      <t>This project will generate both direct and indirect job creation.</t>
    </r>
    <r>
      <rPr>
        <sz val="10"/>
        <color theme="1"/>
        <rFont val="Segoe UI"/>
        <family val="2"/>
      </rPr>
      <t xml:space="preserve"> Pursuant to the guidance referenced above, RIDOT expects this project to generate </t>
    </r>
    <r>
      <rPr>
        <b/>
        <sz val="10"/>
        <color theme="1"/>
        <rFont val="Segoe UI"/>
        <family val="2"/>
      </rPr>
      <t>1,105</t>
    </r>
    <r>
      <rPr>
        <sz val="10"/>
        <color theme="1"/>
        <rFont val="Segoe UI"/>
        <family val="2"/>
      </rPr>
      <t xml:space="preserve"> job-years, </t>
    </r>
    <r>
      <rPr>
        <b/>
        <sz val="10"/>
        <color theme="1"/>
        <rFont val="Segoe UI"/>
        <family val="2"/>
      </rPr>
      <t xml:space="preserve">58 </t>
    </r>
    <r>
      <rPr>
        <sz val="10"/>
        <color theme="1"/>
        <rFont val="Segoe UI"/>
        <family val="2"/>
      </rPr>
      <t xml:space="preserve"> of which will be new jobs. Using these figures and calculating the value of productivity increases for those simply moving jobs, RIDOT estimates that this project will generate nearly </t>
    </r>
    <r>
      <rPr>
        <b/>
        <sz val="10"/>
        <color theme="1"/>
        <rFont val="Segoe UI"/>
        <family val="2"/>
      </rPr>
      <t>$7.5 Million</t>
    </r>
    <r>
      <rPr>
        <sz val="10"/>
        <color theme="1"/>
        <rFont val="Segoe UI"/>
        <family val="2"/>
      </rPr>
      <t xml:space="preserve"> in job creation benefits during construction years. It is also highly likely that this project will have outsize long-term benefits on job creation in the Providence area, which are not quantified here.  </t>
    </r>
  </si>
  <si>
    <t>Table 1: Total Job-Years Created</t>
  </si>
  <si>
    <t>Table 3: Job Creation Benefits</t>
  </si>
  <si>
    <t>Total Transportation Infrastructure Spending</t>
  </si>
  <si>
    <t>New Jobs Created</t>
  </si>
  <si>
    <t>Spending per Job-Year</t>
  </si>
  <si>
    <t>Value of New Jobs**</t>
  </si>
  <si>
    <t>Total Job-Years Created</t>
  </si>
  <si>
    <t>Jobs Changed</t>
  </si>
  <si>
    <t>Value of Changed Jobs</t>
  </si>
  <si>
    <t>Table 2: Job Type Distributions and Corresponding Income Levels</t>
  </si>
  <si>
    <t>EDUCATION LEVEL</t>
  </si>
  <si>
    <t>PROPORTION OF INFRASTRUCTURE JOBS CREATED</t>
  </si>
  <si>
    <t>AVERAGE INCOME, INFRASTRUCTURE JOBS</t>
  </si>
  <si>
    <t>AVERAGE INCOME, OTHER JOBS</t>
  </si>
  <si>
    <t>INCOME CHANGE PER JOB</t>
  </si>
  <si>
    <t>UNEMPLOYMENT RATE*</t>
  </si>
  <si>
    <t>TOTAL VALUE OF JOB CREATION BENEFITS</t>
  </si>
  <si>
    <t>Less Than High School</t>
  </si>
  <si>
    <t>High School</t>
  </si>
  <si>
    <t>Some College</t>
  </si>
  <si>
    <t>Associates Degree</t>
  </si>
  <si>
    <t>Bachelor's Degree</t>
  </si>
  <si>
    <t>Graduate Degree</t>
  </si>
  <si>
    <t>* SOURCE: Bureau of Labor Statistics, 2017</t>
  </si>
  <si>
    <t>** Calculation assumes that of the new job-years created by this project, a percentage, equal to the unemployment rate by education level, will be new jobs, so the productivity increase is equivalent to the total salary of the infrastructure position. For all other jobs, the benefit is equal to the expected change in salary from any other job.</t>
  </si>
  <si>
    <t>Table 1. Job Creation Estimates by Year Based on Projected Spending</t>
  </si>
  <si>
    <t>Year Count</t>
  </si>
  <si>
    <t>Estimated Expenditure</t>
  </si>
  <si>
    <t>Projected TOTAL Job-Years Created</t>
  </si>
  <si>
    <t>Projected NEW Job Years Created</t>
  </si>
  <si>
    <t>Estimated NEW Job Value</t>
  </si>
  <si>
    <t>Projected CHANGED Jobs</t>
  </si>
  <si>
    <t>Estimated CHANGED Job Value</t>
  </si>
  <si>
    <t>Projected TOTAL Job Creation Benefit ($)</t>
  </si>
  <si>
    <t>Job Creation Benefit Discounted at 7%</t>
  </si>
  <si>
    <t>Job Creation Benefit Discounted at 3%</t>
  </si>
  <si>
    <t>TOTALS</t>
  </si>
  <si>
    <t>4. Foregone Cost Savings</t>
  </si>
  <si>
    <t>Table 4-1. Foregone Cost Savings Summary</t>
  </si>
  <si>
    <t>Expense</t>
  </si>
  <si>
    <t>Annual Average</t>
  </si>
  <si>
    <t>Bridge #068201 Maintenance</t>
  </si>
  <si>
    <t>Bridge #072001 Maintenance</t>
  </si>
  <si>
    <t>Pavement Reconstruction</t>
  </si>
  <si>
    <t>Bridge Strike Work Zone Impact</t>
  </si>
  <si>
    <t>4B. Foregone Cost Savings Backup</t>
  </si>
  <si>
    <t>Cost Type</t>
  </si>
  <si>
    <t>Square Feet/Each</t>
  </si>
  <si>
    <t>Unit Cost/EA/SF</t>
  </si>
  <si>
    <t>Iterations</t>
  </si>
  <si>
    <t>Total Cost</t>
  </si>
  <si>
    <t>Subtotal Foregone Cost Before EC&amp;M</t>
  </si>
  <si>
    <t>Engineering, Contingencies, and Mobilizations (30%)</t>
  </si>
  <si>
    <t>Subtotal Foregone Cost for Next 30 Years, Bridge #068201</t>
  </si>
  <si>
    <t>Subtotal Foregone Cost for Next 30 Years, Bridge #072001</t>
  </si>
  <si>
    <t>Subtotal Foregone Cost, Pavement Reconstruction</t>
  </si>
  <si>
    <t>Table 4B-4. No Action Bridge Strike Work Zone Impact</t>
  </si>
  <si>
    <t>Parameter</t>
  </si>
  <si>
    <t>Unit</t>
  </si>
  <si>
    <t>Daily Traffic:</t>
  </si>
  <si>
    <t>vehicles</t>
  </si>
  <si>
    <t>Percentage of daily cars:</t>
  </si>
  <si>
    <t>Bridge strikes occur once every 2 years (every 4 years per bridge x 2 bridges). The average strike requires the closure of 2-3 travel lanes over a 6-8 hour period to assess damage and remove crash damage.</t>
  </si>
  <si>
    <t>Percentage of daily trucks:</t>
  </si>
  <si>
    <t>Cost of Additional Travel Time (cars):</t>
  </si>
  <si>
    <t>dollars</t>
  </si>
  <si>
    <t>Cost of Additional Travel Time (commercial):</t>
  </si>
  <si>
    <t>Additional commuting time:</t>
  </si>
  <si>
    <t>hours/day</t>
  </si>
  <si>
    <t>Length of work zone impacts</t>
  </si>
  <si>
    <t>days</t>
  </si>
  <si>
    <t>Total Bridge Strike Work Zone Impact</t>
  </si>
  <si>
    <t>5. Transit Facility Improvement Benefits</t>
  </si>
  <si>
    <t>Table 5-1. Transit Facility Benefits Summary</t>
  </si>
  <si>
    <t>Facility Type</t>
  </si>
  <si>
    <t>Annual Ridership</t>
  </si>
  <si>
    <t>Annual Benefit</t>
  </si>
  <si>
    <t>Notes</t>
  </si>
  <si>
    <t>5B. Transit Facility Improvement Benefits Backup</t>
  </si>
  <si>
    <t>Table 5B-1. Transit Facility Improvement Benefits by Stop</t>
  </si>
  <si>
    <t>Stop ID</t>
  </si>
  <si>
    <t>Name</t>
  </si>
  <si>
    <t>Daily Ridership on</t>
  </si>
  <si>
    <t>Daily Ridership off</t>
  </si>
  <si>
    <t>Latitude</t>
  </si>
  <si>
    <t>Longitude</t>
  </si>
  <si>
    <t>Shelter and Pad</t>
  </si>
  <si>
    <t>Seating</t>
  </si>
  <si>
    <t>Daily Benefit</t>
  </si>
  <si>
    <t>Full scope of improvements includes:</t>
  </si>
  <si>
    <t xml:space="preserve">Sidewalk abutting stop must meet minimum dimensions for ADA compliance and Bus Stop Design Guide. </t>
  </si>
  <si>
    <t>Shelter and subsequent concrete pad must meet minimum specs for Bus Stop Design Guide.</t>
  </si>
  <si>
    <t>Shelter should be at least smaller shelter size as written in shelter and amenity specification.</t>
  </si>
  <si>
    <t>Lighting</t>
  </si>
  <si>
    <t>Trash receptacles</t>
  </si>
  <si>
    <t>Seating (no concrete or angled)</t>
  </si>
  <si>
    <t xml:space="preserve">Bus stop signage on breakaway sign post </t>
  </si>
  <si>
    <t>6. Pedestrian Facility Improvement Benefits</t>
  </si>
  <si>
    <t>Table 6-1. Transit Facility Benefits Summary</t>
  </si>
  <si>
    <t>Improvement</t>
  </si>
  <si>
    <t>Annual Users Affected</t>
  </si>
  <si>
    <t>Sidewalk Improvements</t>
  </si>
  <si>
    <t>At-Grade Improvements for Existing Users</t>
  </si>
  <si>
    <t>At-Grade Improvements for Additional Users</t>
  </si>
  <si>
    <t>6B. Pedestrian Facility Improvement Benefits</t>
  </si>
  <si>
    <t xml:space="preserve"> </t>
  </si>
  <si>
    <t>Table 6B-1. Sidewalk Improvement Benefits Summary</t>
  </si>
  <si>
    <t>Improvement Type - Sidewalk Improvements</t>
  </si>
  <si>
    <t>Additional Sidewalk Width (ft)</t>
  </si>
  <si>
    <t>Sidewalk Length Widened (mi)</t>
  </si>
  <si>
    <t># Daily Users</t>
  </si>
  <si>
    <t>Benefit per Mile Walked per Day</t>
  </si>
  <si>
    <t>Total Per Year</t>
  </si>
  <si>
    <t>Table 6B-2. At-Grade Crossing Improvements Benefits Summary for Existing Users</t>
  </si>
  <si>
    <t>Improvement Type - At-Grade Crossing Improvements for Existing Users</t>
  </si>
  <si>
    <t>Value per Use</t>
  </si>
  <si>
    <t># Existing Daily Users</t>
  </si>
  <si>
    <t>Benefit per Signalized Pedestrian Crossing Use per Day</t>
  </si>
  <si>
    <t>Table 6B-3. At-Grade Crossing Improvements Benefits Summary for Additional Users</t>
  </si>
  <si>
    <t>Improvement Type - At-Grade Crossing Improvements for Additional Users</t>
  </si>
  <si>
    <t># Additional  Daily Users</t>
  </si>
  <si>
    <t>7. Cycling Facility Improvement Benefits</t>
  </si>
  <si>
    <t>Table 7-1. Cycling Facility Improvement Benefits for Existing Users</t>
  </si>
  <si>
    <t>Improvement Type</t>
  </si>
  <si>
    <t>Segment - Route 113 Between</t>
  </si>
  <si>
    <t>Segment Length (mi)</t>
  </si>
  <si>
    <t># of Existing Cyclists</t>
  </si>
  <si>
    <t>Value per Cycling Mile</t>
  </si>
  <si>
    <t>Benefits to Existing Users Daily</t>
  </si>
  <si>
    <t xml:space="preserve">Annual Benefits </t>
  </si>
  <si>
    <t>Cycling Path with At-Grade Crossings</t>
  </si>
  <si>
    <t>Cycling Path with no At-Grade Crossings</t>
  </si>
  <si>
    <t>Cycling Boulevard/Sharrows</t>
  </si>
  <si>
    <t>Table 7-2. Cycling Facility Improvement Benefits for Additional Users</t>
  </si>
  <si>
    <t># of Induced  Cyclists</t>
  </si>
  <si>
    <t>Annual Benefits</t>
  </si>
  <si>
    <t>Table 7-3. Cycling Facility Improvement Benefits Summary</t>
  </si>
  <si>
    <t>User Type</t>
  </si>
  <si>
    <t>Existing</t>
  </si>
  <si>
    <t>Bike Path and Route 1</t>
  </si>
  <si>
    <t>Additional</t>
  </si>
  <si>
    <t>8. Mortality Reduction Benefits</t>
  </si>
  <si>
    <t>Table 8-1. Mortality Reduction Benefits Summary</t>
  </si>
  <si>
    <t># Induced Trips</t>
  </si>
  <si>
    <t>% in Age Range</t>
  </si>
  <si>
    <t>% from Non-AT Modes</t>
  </si>
  <si>
    <t># Induced Trips Meeting Criteria</t>
  </si>
  <si>
    <t>Value per Induced Trip</t>
  </si>
  <si>
    <t>Benefits to Induced Users Daily</t>
  </si>
  <si>
    <t>Induced Walking</t>
  </si>
  <si>
    <t>Induced Cycling</t>
  </si>
  <si>
    <t>9. Pedestrian and Cyclist Facility Improvements Backup</t>
  </si>
  <si>
    <t>Apply to Tab 6  - Improvement Type - Sidewalk Improvements; Improvement Type - At-Grade Crossing Improvements for Existing Users
Apply to Tab 7 - Improvement Type  - Existing User Benefits</t>
  </si>
  <si>
    <t>Average Peak Hour Pedestrian Counts</t>
  </si>
  <si>
    <t>Peds</t>
  </si>
  <si>
    <t>Bikes</t>
  </si>
  <si>
    <t>Crossing All Approaches - East Avenue at Route 2</t>
  </si>
  <si>
    <t>Crossing East Avenue - East Avenue at CCRI</t>
  </si>
  <si>
    <t>Traveling Long Main Avenue (Road Diet Section)</t>
  </si>
  <si>
    <t>Peak hour counts from June 2021</t>
  </si>
  <si>
    <t>Apply to Tab 6 - Improvement Type - At-Grade Crossing Improvements for Additional Users
Applyto Tab 7 - Improvement Type  - Additional User Benefits</t>
  </si>
  <si>
    <t xml:space="preserve">Average Peak Hour Counts - Washington Secondary Shared Use Path at East Avenue; West Warwick, RI </t>
  </si>
  <si>
    <t>Peak Hour Traffic (August)</t>
  </si>
  <si>
    <t>Off-Peak Traffic  (March)</t>
  </si>
  <si>
    <t>Peak hour counts from Washington Secondary Shared -Use Path 2017/2019</t>
  </si>
  <si>
    <t>Average Daily Count Estimation - Percent Peak Hour of Daily Volume (K Factor)</t>
  </si>
  <si>
    <t>Daily Traffic (August)</t>
  </si>
  <si>
    <t>K Factor</t>
  </si>
  <si>
    <t>Based on East Bay Bike Path 12 hour count study (August 2019) K=18%</t>
  </si>
  <si>
    <t>Daily Traffic (March)</t>
  </si>
  <si>
    <t>Average Daily Count Estimation - Seasonal Adjustments</t>
  </si>
  <si>
    <t>Seasonally Adjusted Average Daily Traffic</t>
  </si>
  <si>
    <t>May thru Sept</t>
  </si>
  <si>
    <t>5 months are "Peak" (May-Sept); 7 months are "Off=Peak" (Oct-April)</t>
  </si>
  <si>
    <t>Oct thru April</t>
  </si>
  <si>
    <t>Shared-Use Path Extension - Projected Use Estimation</t>
  </si>
  <si>
    <t>Current Path Users</t>
  </si>
  <si>
    <t>Apply rate of existing path users per 100 zero-vehicle households within 0.86 miles of current path intersection (259 households) with East Avenue to amount of 100 zero-vehicle households at key entrance points along path extension (105).
Zero-vehicle households based on 2010 US Census Data.</t>
  </si>
  <si>
    <t>Zero-Vehicle Households/100</t>
  </si>
  <si>
    <t>Rate - Path Users/Zero Vehicle Households - Existing Path</t>
  </si>
  <si>
    <t>Rate - Path Users/Zero Vehicle Households - Path Extension</t>
  </si>
  <si>
    <t>Additional Path Users - With Extension</t>
  </si>
  <si>
    <t xml:space="preserve">Apply to Tab 8- </t>
  </si>
  <si>
    <t>Induced Pedestrian and Cyclist - Mode Shift Estimation</t>
  </si>
  <si>
    <t xml:space="preserve">Average Daily Traffic within 2 miles of Bike Path </t>
  </si>
  <si>
    <t>Projected Mode Shift (RI Bike Mobility Plan - Appendix 8</t>
  </si>
  <si>
    <t>Projected Mode Shift for Local Drivers to Active Transportation</t>
  </si>
  <si>
    <t>Work Zone Closure Impact (with INFRA)</t>
  </si>
  <si>
    <t>The majority of work can be built off-line with minimal impact to traffic (night work/short-term closures). Therefore, there are no Work Zone Closure costs associated with this project.</t>
  </si>
  <si>
    <t>Table 1. Work Zone Closure Impact Cost</t>
  </si>
  <si>
    <t>Timeframe:</t>
  </si>
  <si>
    <t>Impacted Daily Traffic:</t>
  </si>
  <si>
    <t>Average Additional Mileage:</t>
  </si>
  <si>
    <t>miles</t>
  </si>
  <si>
    <t>Vehicle Operating Cost (Cars):</t>
  </si>
  <si>
    <t>Vehicle Operating Cost (Trucks):</t>
  </si>
  <si>
    <r>
      <t xml:space="preserve">Total Work Zone Diversion Vehicle </t>
    </r>
    <r>
      <rPr>
        <b/>
        <u/>
        <sz val="10"/>
        <color theme="1"/>
        <rFont val="Segoe UI"/>
        <family val="2"/>
      </rPr>
      <t>Operating</t>
    </r>
    <r>
      <rPr>
        <b/>
        <sz val="10"/>
        <color theme="1"/>
        <rFont val="Segoe UI"/>
        <family val="2"/>
      </rPr>
      <t xml:space="preserve"> Cost</t>
    </r>
  </si>
  <si>
    <t>Table 2. Work Zone Diversion Impact Cost</t>
  </si>
  <si>
    <t>Average Vehicle Occupancy (all purpose/cars):</t>
  </si>
  <si>
    <t>persons per vehicle</t>
  </si>
  <si>
    <t>Average Vehicle Occupancy (commercial trucks):</t>
  </si>
  <si>
    <t>Anticipated Speed at Peak Times:</t>
  </si>
  <si>
    <t>mph</t>
  </si>
  <si>
    <r>
      <t xml:space="preserve">Total Work Zone Diversion </t>
    </r>
    <r>
      <rPr>
        <b/>
        <u/>
        <sz val="10"/>
        <color theme="1"/>
        <rFont val="Segoe UI"/>
        <family val="2"/>
      </rPr>
      <t>Delay</t>
    </r>
    <r>
      <rPr>
        <b/>
        <sz val="10"/>
        <color theme="1"/>
        <rFont val="Segoe UI"/>
        <family val="2"/>
      </rPr>
      <t xml:space="preserve"> Cost</t>
    </r>
  </si>
  <si>
    <t>Net TOTAL Work Zone Closure Impact</t>
  </si>
  <si>
    <t>10. Future Eligible Project Costs (With INFRA)</t>
  </si>
  <si>
    <t xml:space="preserve">
Apart from the requested MPDG funding, no funding for this project requires satisfying any unique conditions. If RIDOT were to receive an award that differs from the request in this application, the Department would make every effort to identify alternative sources of funding to make up the gap and ensure that award execution and obligation would proceed on the timeline outlined in this application. If this project does not receive any grant funding, it will revert to its original limited scope and extended schedule. 
These calculations also assume that the project will begin construction in 2025.
</t>
  </si>
  <si>
    <t>RIDOT and VHB developed a cost estimate based on the items identified in inspection reports, field reviews, and additional prioritization of preventative work to reduce further maintenance costs. Quantity-level estimates were developed and revised as shown below.</t>
  </si>
  <si>
    <t>RIDOT WAUP data; bridge inspection data; historical average soft costs</t>
  </si>
  <si>
    <t>2% future inflation rate; RIDOT blue book cost escalation policies</t>
  </si>
  <si>
    <t>Table 10-1. Future Eligible Project Costs by Phase and Task</t>
  </si>
  <si>
    <t>Phase</t>
  </si>
  <si>
    <t>Task</t>
  </si>
  <si>
    <t>Federal Fiscal Year (FFY)</t>
  </si>
  <si>
    <t>Expected Cost ($)</t>
  </si>
  <si>
    <t>Contingency 
($)</t>
  </si>
  <si>
    <t>Total 
($)</t>
  </si>
  <si>
    <t>Design</t>
  </si>
  <si>
    <t>Design and Construction Initiation</t>
  </si>
  <si>
    <t>Construction Phase 1</t>
  </si>
  <si>
    <t>Construction</t>
  </si>
  <si>
    <t>Construction Phase 2</t>
  </si>
  <si>
    <t xml:space="preserve">Construction Phase 3 </t>
  </si>
  <si>
    <t>Project Closeout</t>
  </si>
  <si>
    <t xml:space="preserve">
Apart from the requested MPDG funding, no funding for this project requires satisfying any unique conditions. If RIDOT were to receive an award that differs from the request in this application, the Department would make every effort to identify alternative sources of funding to make up the gap and ensure that award execution and obligation would proceed on the timeline outlined in this application. If this project does not receive any grant funding, it will revert to its original limited scope and extended schedule. 
These calculations also assume that the project will begin construction in 2024.
</t>
  </si>
  <si>
    <t>11. Work Zone Impact Costs (With Grant)</t>
  </si>
  <si>
    <r>
      <t xml:space="preserve">It is estimated that approximately </t>
    </r>
    <r>
      <rPr>
        <b/>
        <sz val="10"/>
        <rFont val="ArialMT"/>
      </rPr>
      <t>221,892</t>
    </r>
    <r>
      <rPr>
        <sz val="10"/>
        <rFont val="ArialMT"/>
      </rPr>
      <t xml:space="preserve"> vehicles will be directly impacted by bridge work zone impacts from this project. </t>
    </r>
  </si>
  <si>
    <t>To be conservative, RIDOT is calculating the anticipated work zone impact using 200% of the projected 2028 weighted average delay. In other words, this benefit-cost analysis assumes that for the duration of the construction period, typical DELAY times through the corridor will increase by 100% for all vehicles traveling through the immediate area. The construction timeframe for the preferred action scenario is approximately 30 days for the bridge work.</t>
  </si>
  <si>
    <t>Existing conditions and alignments within the project limits</t>
  </si>
  <si>
    <t>Traffic analysis presented in Section 4 of this BCA</t>
  </si>
  <si>
    <t>The expense of additional travel time for all affected vehicles is calculate below. From the U.S. Department of Transportation's "Benefit-Cost Analysis Guidance for Discretionary Grant Programs," All Purpose private vehicle travel monetized value is $18.80 and for Commercial Vehicle operators (an average of truck drivers and bus drivers) is $32.40.</t>
  </si>
  <si>
    <t>Table 11-1. Preferred Action Scenario Bridge Rehab Work Zone Impact</t>
  </si>
  <si>
    <t>Total Bridge Rehab Work Zone Impact</t>
  </si>
  <si>
    <t>With Proposed Improvements (Preferred Action Scenario--With Grant)</t>
  </si>
  <si>
    <t>Table 11-2. Projected Impact by Year</t>
  </si>
  <si>
    <t>Cost</t>
  </si>
  <si>
    <t xml:space="preserve">It is estimated that approximately 68,660 vehicles will be directly impacted by bridge work zone impacts from this project. </t>
  </si>
  <si>
    <t>To be conservative, RIDOT is calculating the anticipated work zone impact using 200% of the projected 2028 weighted average delay. In other words, this benefit-cost analysis assumes that for the duration of the construction period, typical DELAY times through the corridor will increase by 100% for all vehicles traveling through the immediate area. The construction timeframe for the preferred action scenario is approximately 18 days for the bridge work.</t>
  </si>
  <si>
    <t>The expense of additional travel time for all affected vehicles is calculate below. From the U.S. Department of Transportation's "Benefit-Cost Analysis Guidance for Discretionary Grant Programs," All Purpose private vehicle travel monetized value is $17.80 and for Commercial Vehicle operators (an average of truck drivers and bus drivers) is $32.00.</t>
  </si>
  <si>
    <t>12. Lifecycle Management Costs (With INFRA)</t>
  </si>
  <si>
    <t>Represents the anticipated 30-year maintenance needs for newly constructed infrastructure</t>
  </si>
  <si>
    <t xml:space="preserve">Based on historic bridge data and best practices, the existing bridge deterioration is projected to future years. Similarly, based on historic information, future unit cost projections are applied to the projected deterioration. </t>
  </si>
  <si>
    <t>Cost estimation based on bridge condition.</t>
  </si>
  <si>
    <t xml:space="preserve">RIDOT Bridge Inspection Reports, RIDOT weighted average unit price database. </t>
  </si>
  <si>
    <t>RIDOT historic cost estimates</t>
  </si>
  <si>
    <t>Table 12-1. Future Bridge Maintenance Costs, Preferred Action Scenario</t>
  </si>
  <si>
    <t>Bridge ID</t>
  </si>
  <si>
    <t>Description / Task</t>
  </si>
  <si>
    <t>Unit Cost</t>
  </si>
  <si>
    <t>30 Year Maintenance Cost</t>
  </si>
  <si>
    <t>30-Year Cost 
($)</t>
  </si>
  <si>
    <t xml:space="preserve">Bridge Inspection </t>
  </si>
  <si>
    <t>High Pressure Water Cleaning on Bridge Structure</t>
  </si>
  <si>
    <t xml:space="preserve">Concrete Surface Treatment (Protective Coating) </t>
  </si>
  <si>
    <t>Joint Replacement</t>
  </si>
  <si>
    <t>Paint Superstructure</t>
  </si>
  <si>
    <t>Replace Wearing Surface</t>
  </si>
  <si>
    <t>Table 12-2. Future Pavement Maintenance Costs, Preferred Action Scenario</t>
  </si>
  <si>
    <t>Road</t>
  </si>
  <si>
    <t>Description/Task</t>
  </si>
  <si>
    <t>Units/Square Feet/Each</t>
  </si>
  <si>
    <t>I-95 South</t>
  </si>
  <si>
    <t>Crack Sealing</t>
  </si>
  <si>
    <t>New Ramps</t>
  </si>
  <si>
    <t>I-95 S and Ramps</t>
  </si>
  <si>
    <t>Mill &amp; Fill</t>
  </si>
  <si>
    <t>Table 12-3. Future Eligible Costs Summary</t>
  </si>
  <si>
    <t>Description</t>
  </si>
  <si>
    <t>Cost Over 30 Years</t>
  </si>
  <si>
    <t>Bridge Maintenance</t>
  </si>
  <si>
    <t>30-Year Lifecycle Maintenance</t>
  </si>
  <si>
    <t>Pavement Maintenance</t>
  </si>
  <si>
    <t>Retaining Wall Inspection</t>
  </si>
  <si>
    <t>Sound Wall Inspection</t>
  </si>
  <si>
    <t>Misc Wall Maintenance</t>
  </si>
  <si>
    <t>RI-403</t>
  </si>
  <si>
    <t>RI-403 and Ramps</t>
  </si>
  <si>
    <t>Appendix A. Parameter Values</t>
  </si>
  <si>
    <t>This tab includes parameter values published in USDOT's "Benefit-Cost Analysis Guidance for Discretionary Grant Programs" (March 2022).
The values listed on this tab are utilized throughout this benefit-cost analysis.</t>
  </si>
  <si>
    <t>Table A-1/A-2. Value of Reduced Fatalities, Injuries, and Damage</t>
  </si>
  <si>
    <t>Table A-6. Damage Costs for Emissions per Metric Ton*</t>
  </si>
  <si>
    <t>KABCO Level/Crash Type</t>
  </si>
  <si>
    <t>Monetized Value (2021 $)</t>
  </si>
  <si>
    <t>Table A-2. Property Damage Only (PDO) Crashes</t>
  </si>
  <si>
    <t>Crash Type</t>
  </si>
  <si>
    <t>Property Damage Only (PDO)</t>
  </si>
  <si>
    <t>Table A-3. Recommended Travel Time Savings</t>
  </si>
  <si>
    <t>Category</t>
  </si>
  <si>
    <t>Hourly Value</t>
  </si>
  <si>
    <t>Personal</t>
  </si>
  <si>
    <t>Business</t>
  </si>
  <si>
    <t>All Purposes</t>
  </si>
  <si>
    <t>Walking, Cycling, Waiting, Standing, and Transfer Time</t>
  </si>
  <si>
    <t>Truck Drivers</t>
  </si>
  <si>
    <t>Bus Drivers</t>
  </si>
  <si>
    <t>Transit Rail Operators</t>
  </si>
  <si>
    <t>Locomotive Engineers</t>
  </si>
  <si>
    <t>Table A-4. Average Vehicle Occupancy Rates for Highway Passenger Vehicles</t>
  </si>
  <si>
    <t>Vehicle Type</t>
  </si>
  <si>
    <t>Average Occupancy</t>
  </si>
  <si>
    <t>Passenger Vehicles (Weekday Peak)</t>
  </si>
  <si>
    <t>Passenger Vehicles (Weekday Off-Peak)</t>
  </si>
  <si>
    <t>Passenger Vehicles (Weekend)</t>
  </si>
  <si>
    <t>Passenger Vehicles (All Travel)</t>
  </si>
  <si>
    <t>Table A-5. Vehicle Operating Costs</t>
  </si>
  <si>
    <t>Recommended Value per Mile (2021 $)</t>
  </si>
  <si>
    <t>Light Duty Vehicles</t>
  </si>
  <si>
    <t>Commercial Trucks</t>
  </si>
  <si>
    <r>
      <t>* CO</t>
    </r>
    <r>
      <rPr>
        <vertAlign val="subscript"/>
        <sz val="10"/>
        <color theme="1"/>
        <rFont val="ArialMT"/>
      </rPr>
      <t>2</t>
    </r>
    <r>
      <rPr>
        <sz val="10"/>
        <color theme="1"/>
        <rFont val="ArialMT"/>
      </rPr>
      <t xml:space="preserve"> figures taken from February 2021 USDOT Benefit-Cost Analysis Guidance for Discretionary Grant Programs</t>
    </r>
  </si>
  <si>
    <t>Table A-7. Inflation Adjustment Values</t>
  </si>
  <si>
    <t>Table A-10. Transit Facility Amenity</t>
  </si>
  <si>
    <t>Base Year</t>
  </si>
  <si>
    <t>Multiplier</t>
  </si>
  <si>
    <t xml:space="preserve">Attribute Type </t>
  </si>
  <si>
    <t xml:space="preserve"> Bus Stop </t>
  </si>
  <si>
    <t xml:space="preserve"> Light Rail/Streetcar Stop </t>
  </si>
  <si>
    <t xml:space="preserve"> Rail Station </t>
  </si>
  <si>
    <t xml:space="preserve">Clocks </t>
  </si>
  <si>
    <t xml:space="preserve">Electronic Real-Time Information Displays </t>
  </si>
  <si>
    <t xml:space="preserve">Information /Emergency Button </t>
  </si>
  <si>
    <t xml:space="preserve">PA System </t>
  </si>
  <si>
    <t xml:space="preserve">Platform/Stop Seating Availability1 </t>
  </si>
  <si>
    <t xml:space="preserve">Platform/Stop Weather Protection1 </t>
  </si>
  <si>
    <t xml:space="preserve">Restroom Availability </t>
  </si>
  <si>
    <t xml:space="preserve">Retail/Food Outlet Availability </t>
  </si>
  <si>
    <t xml:space="preserve">Staff Availability </t>
  </si>
  <si>
    <t xml:space="preserve">Step-Free Access to Station/Stop </t>
  </si>
  <si>
    <t xml:space="preserve">Step-Free Access to Vehicle </t>
  </si>
  <si>
    <t xml:space="preserve">Surveillance Cameras </t>
  </si>
  <si>
    <t xml:space="preserve">Temperature Controlled Environment1 </t>
  </si>
  <si>
    <t xml:space="preserve">Ticket Machines </t>
  </si>
  <si>
    <t xml:space="preserve">Timetables </t>
  </si>
  <si>
    <t xml:space="preserve">Bike Facilities </t>
  </si>
  <si>
    <t xml:space="preserve">Car Access Facilities </t>
  </si>
  <si>
    <t xml:space="preserve">Elevator </t>
  </si>
  <si>
    <t xml:space="preserve">Escalators </t>
  </si>
  <si>
    <t xml:space="preserve">On-Site Ticket Office </t>
  </si>
  <si>
    <t>Table A-8. Pedestrian Facility Improvements</t>
  </si>
  <si>
    <t xml:space="preserve">Taxi Pickup/Dropoff </t>
  </si>
  <si>
    <t>Waiting Room</t>
  </si>
  <si>
    <t>Recommended Value</t>
  </si>
  <si>
    <t>Expanded Sidewalk (per ft added width)</t>
  </si>
  <si>
    <t>Table A-11. Transit Vehicle Amenity Values</t>
  </si>
  <si>
    <t>Reducing Upslope by 1%</t>
  </si>
  <si>
    <r>
      <t xml:space="preserve">Reducing Traffic Speed by 1mph (speeds </t>
    </r>
    <r>
      <rPr>
        <sz val="10"/>
        <color theme="1"/>
        <rFont val="Calibri"/>
        <family val="2"/>
      </rPr>
      <t>≤</t>
    </r>
    <r>
      <rPr>
        <sz val="10"/>
        <color theme="1"/>
        <rFont val="ArialMT"/>
      </rPr>
      <t xml:space="preserve"> 45 mph)</t>
    </r>
  </si>
  <si>
    <t>Attribute Type</t>
  </si>
  <si>
    <t>Bus</t>
  </si>
  <si>
    <t>Light Rail/Streetcar</t>
  </si>
  <si>
    <t>Rail</t>
  </si>
  <si>
    <t>Reducing Traffic Volume by 1 vph (for ADT ≤ 55,000)</t>
  </si>
  <si>
    <t>Marked-Crosswalks on Roadway, Volume &gt;10k/day</t>
  </si>
  <si>
    <t xml:space="preserve">Handrails </t>
  </si>
  <si>
    <t>Signal and Pedestrian Crossing on Roadway, Volume &gt;13k/day</t>
  </si>
  <si>
    <t xml:space="preserve">Luggage Storage </t>
  </si>
  <si>
    <t>Table A-9. Cycling Facility Improvements</t>
  </si>
  <si>
    <t xml:space="preserve">Temperature Control </t>
  </si>
  <si>
    <t>Recommended Value per Cycling Mile (2021 $)</t>
  </si>
  <si>
    <t xml:space="preserve">Wheelchair Space </t>
  </si>
  <si>
    <t xml:space="preserve">Food Service Availability </t>
  </si>
  <si>
    <t>Cycling Path with no at-Grade Crossings</t>
  </si>
  <si>
    <t>Restroom Availability</t>
  </si>
  <si>
    <t>Dedicated Cycling Lane</t>
  </si>
  <si>
    <t>Cycling Boulevard/Sharrow</t>
  </si>
  <si>
    <t>Table A-12. Transit Mode Ride and Boarding Quality Revealed Preference Values</t>
  </si>
  <si>
    <t>Separated Cycle Track</t>
  </si>
  <si>
    <t>Transit Mode</t>
  </si>
  <si>
    <t>Boarding Quality*</t>
  </si>
  <si>
    <t>Vehicle Ride Quality**</t>
  </si>
  <si>
    <t>Table A-13. Mortality Reduction Benefits of Induced Active Transportation</t>
  </si>
  <si>
    <t>Low-Intensive BRT</t>
  </si>
  <si>
    <t>Mode and Age Range</t>
  </si>
  <si>
    <t>Medium-Intensive BRT</t>
  </si>
  <si>
    <t>Walking, Ages 20-74</t>
  </si>
  <si>
    <t>High-Intensive BRT</t>
  </si>
  <si>
    <t>Cycling, Ages 20-64</t>
  </si>
  <si>
    <t>Streetcar or On-street Light Rail Transit</t>
  </si>
  <si>
    <t>Off-street Light Rail Transit</t>
  </si>
  <si>
    <t>Heavy Rail</t>
  </si>
  <si>
    <t>Commuter Rail</t>
  </si>
  <si>
    <t>Ferry</t>
  </si>
  <si>
    <t>*Benefit per Boarding</t>
  </si>
  <si>
    <t>**Benefit per passenger hour</t>
  </si>
  <si>
    <t>Table A-14. External Highway Use Costs Noise and Congestion</t>
  </si>
  <si>
    <t>Location</t>
  </si>
  <si>
    <t>Congestion (2020 $)</t>
  </si>
  <si>
    <t>Noise (2020 $)</t>
  </si>
  <si>
    <t>Light Duty</t>
  </si>
  <si>
    <t>Urban</t>
  </si>
  <si>
    <t>Rural</t>
  </si>
  <si>
    <t>All</t>
  </si>
  <si>
    <t>Buses and Trucks</t>
  </si>
  <si>
    <t>All Vehicles</t>
  </si>
  <si>
    <t>Recommended Value per Cycling Mile (2020 $)</t>
  </si>
  <si>
    <t>Table A-12. Mortality Reduction Benefits of Induced Active Transportation</t>
  </si>
  <si>
    <t>Appendix B. Project Information</t>
  </si>
  <si>
    <t xml:space="preserve">This tab lists key input values for this benefit-cost analysis including the correct project name, due date of submission, design and construction schedules, and more. </t>
  </si>
  <si>
    <t>Table B1. Basic Project Information</t>
  </si>
  <si>
    <t>Table B2. Project Scheduling Information</t>
  </si>
  <si>
    <t>Input</t>
  </si>
  <si>
    <t>Project Name</t>
  </si>
  <si>
    <t>Completing the I-95 Missing Move and Quonset Connector Ramps</t>
  </si>
  <si>
    <t>First Year of Design</t>
  </si>
  <si>
    <t>Date of Submission</t>
  </si>
  <si>
    <t>Last Year of Design</t>
  </si>
  <si>
    <t>First Year of Analysis</t>
  </si>
  <si>
    <t>First Year of Construction</t>
  </si>
  <si>
    <t>Last Year of Analysis</t>
  </si>
  <si>
    <t>Last Year of Construction</t>
  </si>
  <si>
    <t>Table B3. Master List of Years</t>
  </si>
  <si>
    <t>Year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</si>
</sst>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6" formatCode="&quot;$&quot;#,##0_);[Red]\(&quot;$&quot;#,##0\)"/>
    <numFmt numFmtId="8" formatCode="&quot;$&quot;#,##0.00_);[Red]\(&quot;$&quot;#,##0.00\)"/>
    <numFmt numFmtId="44" formatCode="_(&quot;$&quot;* #,##0.00_);_(&quot;$&quot;* \(#,##0.00\);_(&quot;$&quot;* &quot;-&quot;??_);_(@_)"/>
    <numFmt numFmtId="43" formatCode="_(* #,##0.00_);_(* \(#,##0.00\);_(* &quot;-&quot;??_);_(@_)"/>
    <numFmt numFmtId="164" formatCode="_(* #,##0_);_(* \(#,##0\);_(* &quot;-&quot;??_);_(@_)"/>
    <numFmt numFmtId="165" formatCode="&quot;$&quot;#,##0"/>
    <numFmt numFmtId="166" formatCode="0.0%"/>
    <numFmt numFmtId="167" formatCode="_(&quot;$&quot;* #,##0_);_(&quot;$&quot;* \(#,##0\);_(&quot;$&quot;* &quot;-&quot;??_);_(@_)"/>
    <numFmt numFmtId="168" formatCode="[$-409]h:mm\ AM/PM;@"/>
    <numFmt numFmtId="169" formatCode="0.0000"/>
    <numFmt numFmtId="170" formatCode="[$-409]mmmm\ d\,\ yyyy;@"/>
    <numFmt numFmtId="171" formatCode="_(&quot;$&quot;* #,##0.0000_);_(&quot;$&quot;* \(#,##0.0000\);_(&quot;$&quot;* &quot;-&quot;??_);_(@_)"/>
    <numFmt numFmtId="172" formatCode="_(* #,##0.0000_);_(* \(#,##0.0000\);_(* &quot;-&quot;??_);_(@_)"/>
    <numFmt numFmtId="173" formatCode="0.000"/>
    <numFmt numFmtId="174" formatCode="#,##0.000"/>
  </numFmts>
  <fonts count="44">
    <font>
      <sz val="10"/>
      <color theme="1"/>
      <name val="Arial"/>
      <family val="2"/>
    </font>
    <font>
      <sz val="11"/>
      <color theme="1"/>
      <name val="Calibri"/>
      <family val="2"/>
      <scheme val="minor"/>
    </font>
    <font>
      <sz val="11"/>
      <color theme="1"/>
      <name val="Calibri"/>
      <family val="2"/>
      <scheme val="minor"/>
    </font>
    <font>
      <sz val="10"/>
      <color theme="1"/>
      <name val="Segoe UI"/>
      <family val="2"/>
    </font>
    <font>
      <b/>
      <sz val="10"/>
      <color theme="1"/>
      <name val="Segoe UI"/>
      <family val="2"/>
    </font>
    <font>
      <sz val="10"/>
      <color rgb="FFFF0000"/>
      <name val="Segoe UI"/>
      <family val="2"/>
    </font>
    <font>
      <b/>
      <sz val="10"/>
      <color theme="0"/>
      <name val="Segoe UI"/>
      <family val="2"/>
    </font>
    <font>
      <sz val="10"/>
      <color theme="0"/>
      <name val="Segoe UI"/>
      <family val="2"/>
    </font>
    <font>
      <sz val="10"/>
      <name val="Segoe UI"/>
      <family val="2"/>
    </font>
    <font>
      <b/>
      <u/>
      <sz val="10"/>
      <color theme="1"/>
      <name val="Segoe UI"/>
      <family val="2"/>
    </font>
    <font>
      <b/>
      <sz val="10"/>
      <color theme="0"/>
      <name val="ArialMT"/>
    </font>
    <font>
      <sz val="10"/>
      <color theme="0"/>
      <name val="ArialMT"/>
    </font>
    <font>
      <sz val="10"/>
      <color theme="1"/>
      <name val="ArialMT"/>
    </font>
    <font>
      <b/>
      <sz val="10"/>
      <color theme="1"/>
      <name val="ArialMT"/>
    </font>
    <font>
      <sz val="10"/>
      <name val="ArialMT"/>
    </font>
    <font>
      <b/>
      <sz val="10"/>
      <name val="ArialMT"/>
    </font>
    <font>
      <u/>
      <sz val="10"/>
      <color theme="1"/>
      <name val="ArialMT"/>
    </font>
    <font>
      <vertAlign val="superscript"/>
      <sz val="10"/>
      <color theme="1"/>
      <name val="ArialMT"/>
    </font>
    <font>
      <sz val="10"/>
      <color rgb="FF3F3F76"/>
      <name val="ArialMT"/>
    </font>
    <font>
      <b/>
      <sz val="10"/>
      <color rgb="FFFA7D00"/>
      <name val="ArialMT"/>
    </font>
    <font>
      <i/>
      <sz val="10"/>
      <color theme="1"/>
      <name val="ArialMT"/>
    </font>
    <font>
      <b/>
      <vertAlign val="subscript"/>
      <sz val="10"/>
      <color theme="1"/>
      <name val="ArialMT"/>
    </font>
    <font>
      <vertAlign val="subscript"/>
      <sz val="10"/>
      <color theme="1"/>
      <name val="ArialMT"/>
    </font>
    <font>
      <sz val="11"/>
      <color theme="1"/>
      <name val="ArialMT"/>
    </font>
    <font>
      <b/>
      <sz val="11"/>
      <color theme="1"/>
      <name val="ArialMT"/>
    </font>
    <font>
      <sz val="8"/>
      <name val="Arial"/>
      <family val="2"/>
    </font>
    <font>
      <vertAlign val="subscript"/>
      <sz val="10"/>
      <color theme="1"/>
      <name val="Arial"/>
      <family val="2"/>
    </font>
    <font>
      <sz val="10"/>
      <color theme="4"/>
      <name val="ArialMT"/>
    </font>
    <font>
      <sz val="10"/>
      <color theme="1"/>
      <name val="Arial"/>
      <family val="2"/>
    </font>
    <font>
      <b/>
      <sz val="10"/>
      <color theme="1"/>
      <name val="Arial"/>
      <family val="2"/>
    </font>
    <font>
      <sz val="10"/>
      <color rgb="FF000000"/>
      <name val="Times New Roman"/>
      <family val="1"/>
    </font>
    <font>
      <sz val="11"/>
      <color theme="1"/>
      <name val="Calibri"/>
      <family val="2"/>
    </font>
    <font>
      <b/>
      <sz val="11"/>
      <color rgb="FF000000"/>
      <name val="Calibri"/>
      <family val="2"/>
    </font>
    <font>
      <i/>
      <sz val="8"/>
      <color theme="1"/>
      <name val="Arial"/>
      <family val="2"/>
    </font>
    <font>
      <sz val="10"/>
      <color rgb="FF000000"/>
      <name val="ArialMT"/>
    </font>
    <font>
      <i/>
      <sz val="10"/>
      <color rgb="FF000000"/>
      <name val="ArialMT"/>
    </font>
    <font>
      <b/>
      <sz val="10"/>
      <color rgb="FF000000"/>
      <name val="ArialMT"/>
    </font>
    <font>
      <b/>
      <sz val="10"/>
      <color rgb="FFFF0000"/>
      <name val="ArialMT"/>
    </font>
    <font>
      <sz val="10"/>
      <color rgb="FF3F3F76"/>
      <name val="Segoe UI"/>
      <family val="2"/>
    </font>
    <font>
      <sz val="11"/>
      <color theme="1"/>
      <name val="Segoe UI"/>
      <family val="2"/>
    </font>
    <font>
      <sz val="10"/>
      <color theme="1"/>
      <name val="Calibri"/>
      <family val="2"/>
    </font>
    <font>
      <i/>
      <sz val="10"/>
      <color rgb="FFFF0000"/>
      <name val="ArialMT"/>
    </font>
    <font>
      <sz val="10"/>
      <color rgb="FFFF0000"/>
      <name val="ArialMT"/>
    </font>
    <font>
      <b/>
      <u/>
      <sz val="10"/>
      <name val="ArialMT"/>
    </font>
  </fonts>
  <fills count="23">
    <fill>
      <patternFill patternType="none"/>
    </fill>
    <fill>
      <patternFill patternType="gray125"/>
    </fill>
    <fill>
      <patternFill patternType="solid">
        <fgColor theme="0" tint="-0.49998474074526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2"/>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9"/>
        <bgColor indexed="64"/>
      </patternFill>
    </fill>
    <fill>
      <patternFill patternType="solid">
        <fgColor theme="6" tint="0.79998168889431442"/>
        <bgColor indexed="64"/>
      </patternFill>
    </fill>
    <fill>
      <patternFill patternType="solid">
        <fgColor theme="5" tint="-0.249977111117893"/>
        <bgColor indexed="64"/>
      </patternFill>
    </fill>
    <fill>
      <patternFill patternType="solid">
        <fgColor rgb="FFFFCC99"/>
      </patternFill>
    </fill>
    <fill>
      <patternFill patternType="solid">
        <fgColor theme="4"/>
        <bgColor indexed="64"/>
      </patternFill>
    </fill>
    <fill>
      <patternFill patternType="solid">
        <fgColor rgb="FFF2F2F2"/>
      </patternFill>
    </fill>
    <fill>
      <patternFill patternType="solid">
        <fgColor rgb="FFFFFFCC"/>
      </patternFill>
    </fill>
    <fill>
      <patternFill patternType="solid">
        <fgColor theme="1" tint="0.499984740745262"/>
        <bgColor indexed="64"/>
      </patternFill>
    </fill>
    <fill>
      <patternFill patternType="solid">
        <fgColor rgb="FFFFFF00"/>
        <bgColor indexed="64"/>
      </patternFill>
    </fill>
    <fill>
      <patternFill patternType="solid">
        <fgColor rgb="FFFF0000"/>
        <bgColor indexed="64"/>
      </patternFill>
    </fill>
    <fill>
      <patternFill patternType="solid">
        <fgColor theme="8"/>
        <bgColor indexed="64"/>
      </patternFill>
    </fill>
    <fill>
      <patternFill patternType="solid">
        <fgColor theme="1"/>
        <bgColor indexed="64"/>
      </patternFill>
    </fill>
  </fills>
  <borders count="3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auto="1"/>
      </left>
      <right/>
      <top/>
      <bottom/>
      <diagonal/>
    </border>
    <border>
      <left style="thin">
        <color auto="1"/>
      </left>
      <right/>
      <top style="thin">
        <color auto="1"/>
      </top>
      <bottom style="thin">
        <color auto="1"/>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indexed="64"/>
      </bottom>
      <diagonal/>
    </border>
    <border>
      <left style="thin">
        <color rgb="FF7F7F7F"/>
      </left>
      <right style="thin">
        <color rgb="FF7F7F7F"/>
      </right>
      <top style="thin">
        <color rgb="FF7F7F7F"/>
      </top>
      <bottom style="double">
        <color indexed="64"/>
      </bottom>
      <diagonal/>
    </border>
    <border>
      <left/>
      <right/>
      <top/>
      <bottom style="double">
        <color rgb="FFFF8001"/>
      </bottom>
      <diagonal/>
    </border>
    <border>
      <left style="thin">
        <color indexed="64"/>
      </left>
      <right/>
      <top/>
      <bottom style="double">
        <color indexed="64"/>
      </bottom>
      <diagonal/>
    </border>
    <border>
      <left/>
      <right style="thin">
        <color indexed="64"/>
      </right>
      <top/>
      <bottom style="double">
        <color indexed="64"/>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rgb="FF7F7F7F"/>
      </top>
      <bottom style="thin">
        <color indexed="64"/>
      </bottom>
      <diagonal/>
    </border>
    <border>
      <left/>
      <right/>
      <top style="thin">
        <color rgb="FF7F7F7F"/>
      </top>
      <bottom style="thin">
        <color indexed="64"/>
      </bottom>
      <diagonal/>
    </border>
    <border>
      <left/>
      <right style="thin">
        <color rgb="FF7F7F7F"/>
      </right>
      <top style="thin">
        <color rgb="FF7F7F7F"/>
      </top>
      <bottom style="thin">
        <color indexed="64"/>
      </bottom>
      <diagonal/>
    </border>
    <border>
      <left style="thin">
        <color indexed="64"/>
      </left>
      <right/>
      <top style="thin">
        <color indexed="64"/>
      </top>
      <bottom/>
      <diagonal/>
    </border>
  </borders>
  <cellStyleXfs count="11">
    <xf numFmtId="0" fontId="0" fillId="0" borderId="0"/>
    <xf numFmtId="4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18" fillId="14" borderId="22" applyNumberFormat="0" applyProtection="0">
      <alignment horizontal="left" vertical="center"/>
    </xf>
    <xf numFmtId="0" fontId="19" fillId="16" borderId="22" applyNumberFormat="0" applyProtection="0">
      <alignment vertical="center"/>
    </xf>
    <xf numFmtId="0" fontId="2" fillId="17" borderId="23" applyNumberFormat="0" applyFont="0" applyAlignment="0" applyProtection="0"/>
    <xf numFmtId="0" fontId="27" fillId="8" borderId="26" applyNumberFormat="0" applyBorder="0" applyAlignment="0" applyProtection="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573">
    <xf numFmtId="0" fontId="0" fillId="0" borderId="0" xfId="0"/>
    <xf numFmtId="1" fontId="3" fillId="0" borderId="0" xfId="0" applyNumberFormat="1" applyFont="1"/>
    <xf numFmtId="1" fontId="3" fillId="0" borderId="17" xfId="0" applyNumberFormat="1" applyFont="1" applyBorder="1"/>
    <xf numFmtId="0" fontId="3" fillId="0" borderId="0" xfId="0" applyFont="1"/>
    <xf numFmtId="0" fontId="3" fillId="0" borderId="17" xfId="0" applyFont="1" applyBorder="1"/>
    <xf numFmtId="0" fontId="3" fillId="0" borderId="0" xfId="0" applyFont="1" applyAlignment="1">
      <alignment horizontal="right"/>
    </xf>
    <xf numFmtId="0" fontId="4" fillId="0" borderId="0" xfId="0" applyFont="1"/>
    <xf numFmtId="44" fontId="3" fillId="0" borderId="0" xfId="0" applyNumberFormat="1" applyFont="1"/>
    <xf numFmtId="170" fontId="4" fillId="0" borderId="0" xfId="0" applyNumberFormat="1" applyFont="1" applyAlignment="1">
      <alignment horizontal="left"/>
    </xf>
    <xf numFmtId="0" fontId="3" fillId="0" borderId="0" xfId="0" applyFont="1" applyAlignment="1">
      <alignment horizontal="left"/>
    </xf>
    <xf numFmtId="0" fontId="4" fillId="0" borderId="0" xfId="0" applyFont="1" applyAlignment="1">
      <alignment vertical="center"/>
    </xf>
    <xf numFmtId="43" fontId="5" fillId="0" borderId="0" xfId="2" applyFont="1"/>
    <xf numFmtId="0" fontId="5" fillId="0" borderId="0" xfId="0" applyFont="1"/>
    <xf numFmtId="0" fontId="3" fillId="0" borderId="0" xfId="0" applyFont="1" applyAlignment="1">
      <alignment vertical="center"/>
    </xf>
    <xf numFmtId="0" fontId="3" fillId="0" borderId="0" xfId="0" applyFont="1" applyAlignment="1">
      <alignment horizontal="right" vertical="center"/>
    </xf>
    <xf numFmtId="170" fontId="4" fillId="0" borderId="0" xfId="0" applyNumberFormat="1" applyFont="1" applyAlignment="1">
      <alignment horizontal="left" vertical="center"/>
    </xf>
    <xf numFmtId="8" fontId="5" fillId="0" borderId="0" xfId="0" applyNumberFormat="1" applyFont="1" applyAlignment="1">
      <alignment vertical="center"/>
    </xf>
    <xf numFmtId="166" fontId="3" fillId="0" borderId="0" xfId="3" applyNumberFormat="1" applyFont="1" applyFill="1" applyAlignment="1">
      <alignment vertical="center"/>
    </xf>
    <xf numFmtId="166" fontId="5" fillId="0" borderId="0" xfId="3" applyNumberFormat="1" applyFont="1" applyAlignment="1">
      <alignment vertical="center"/>
    </xf>
    <xf numFmtId="0" fontId="3" fillId="0" borderId="1" xfId="0" applyFont="1" applyBorder="1" applyAlignment="1">
      <alignment vertical="center"/>
    </xf>
    <xf numFmtId="0" fontId="3" fillId="0" borderId="11" xfId="0" applyFont="1" applyBorder="1" applyAlignment="1">
      <alignment vertical="center"/>
    </xf>
    <xf numFmtId="0" fontId="4" fillId="0" borderId="11" xfId="0" applyFont="1" applyBorder="1" applyAlignment="1">
      <alignment horizontal="right" vertical="center"/>
    </xf>
    <xf numFmtId="44" fontId="4" fillId="0" borderId="2" xfId="1" applyFont="1" applyFill="1" applyBorder="1" applyAlignment="1">
      <alignment vertical="center"/>
    </xf>
    <xf numFmtId="0" fontId="4" fillId="0" borderId="0" xfId="0" applyFont="1" applyAlignment="1">
      <alignment horizontal="right" vertical="center"/>
    </xf>
    <xf numFmtId="44" fontId="4" fillId="0" borderId="0" xfId="1" applyFont="1" applyFill="1" applyBorder="1" applyAlignment="1">
      <alignment vertical="center"/>
    </xf>
    <xf numFmtId="0" fontId="5" fillId="0" borderId="0" xfId="3" applyNumberFormat="1" applyFont="1" applyFill="1" applyAlignment="1">
      <alignment vertical="center"/>
    </xf>
    <xf numFmtId="8" fontId="5" fillId="0" borderId="0" xfId="3" applyNumberFormat="1" applyFont="1" applyAlignment="1">
      <alignment vertical="center"/>
    </xf>
    <xf numFmtId="0" fontId="3" fillId="5" borderId="1" xfId="0" applyFont="1" applyFill="1" applyBorder="1" applyAlignment="1">
      <alignment vertical="center"/>
    </xf>
    <xf numFmtId="0" fontId="3" fillId="5" borderId="11" xfId="0" applyFont="1" applyFill="1" applyBorder="1" applyAlignment="1">
      <alignment vertical="center"/>
    </xf>
    <xf numFmtId="0" fontId="4" fillId="5" borderId="11" xfId="0" applyFont="1" applyFill="1" applyBorder="1" applyAlignment="1">
      <alignment horizontal="right" vertical="center"/>
    </xf>
    <xf numFmtId="44" fontId="4" fillId="5" borderId="2" xfId="1" applyFont="1" applyFill="1" applyBorder="1" applyAlignment="1">
      <alignment vertical="center"/>
    </xf>
    <xf numFmtId="8" fontId="3" fillId="0" borderId="0" xfId="0" applyNumberFormat="1" applyFont="1"/>
    <xf numFmtId="0" fontId="4" fillId="0" borderId="0" xfId="0" applyFont="1" applyAlignment="1">
      <alignment horizontal="center" vertical="center" wrapText="1"/>
    </xf>
    <xf numFmtId="0" fontId="4" fillId="0" borderId="17" xfId="0" applyFont="1" applyBorder="1" applyAlignment="1">
      <alignment horizontal="center" vertical="center" wrapText="1"/>
    </xf>
    <xf numFmtId="0" fontId="4" fillId="3" borderId="17" xfId="0" applyFont="1" applyFill="1" applyBorder="1" applyAlignment="1">
      <alignment horizontal="center" vertical="center" wrapText="1"/>
    </xf>
    <xf numFmtId="0" fontId="4" fillId="10" borderId="17"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xf>
    <xf numFmtId="8" fontId="3" fillId="3" borderId="0" xfId="0" applyNumberFormat="1" applyFont="1" applyFill="1"/>
    <xf numFmtId="8" fontId="3" fillId="10" borderId="0" xfId="0" applyNumberFormat="1" applyFont="1" applyFill="1"/>
    <xf numFmtId="8" fontId="3" fillId="8" borderId="0" xfId="0" applyNumberFormat="1" applyFont="1" applyFill="1"/>
    <xf numFmtId="8" fontId="3" fillId="0" borderId="17" xfId="0" applyNumberFormat="1" applyFont="1" applyBorder="1"/>
    <xf numFmtId="8" fontId="3" fillId="3" borderId="17" xfId="0" applyNumberFormat="1" applyFont="1" applyFill="1" applyBorder="1"/>
    <xf numFmtId="8" fontId="4" fillId="0" borderId="0" xfId="0" applyNumberFormat="1" applyFont="1"/>
    <xf numFmtId="38" fontId="4" fillId="0" borderId="0" xfId="0" applyNumberFormat="1" applyFont="1"/>
    <xf numFmtId="8" fontId="4" fillId="3" borderId="0" xfId="0" applyNumberFormat="1" applyFont="1" applyFill="1"/>
    <xf numFmtId="0" fontId="4" fillId="0" borderId="0" xfId="0" applyFont="1" applyAlignment="1">
      <alignment horizontal="right"/>
    </xf>
    <xf numFmtId="44" fontId="4" fillId="0" borderId="0" xfId="0" applyNumberFormat="1" applyFont="1"/>
    <xf numFmtId="39" fontId="3" fillId="0" borderId="0" xfId="0" applyNumberFormat="1" applyFont="1"/>
    <xf numFmtId="0" fontId="4" fillId="6" borderId="8" xfId="0" applyFont="1" applyFill="1" applyBorder="1" applyAlignment="1">
      <alignment horizontal="center" vertical="center"/>
    </xf>
    <xf numFmtId="0" fontId="4" fillId="6" borderId="8" xfId="0" applyFont="1" applyFill="1" applyBorder="1" applyAlignment="1">
      <alignment horizontal="center" vertical="center" wrapText="1"/>
    </xf>
    <xf numFmtId="0" fontId="4" fillId="3" borderId="1" xfId="0" applyFont="1" applyFill="1" applyBorder="1" applyAlignment="1">
      <alignment horizontal="right" vertical="center" wrapText="1"/>
    </xf>
    <xf numFmtId="44" fontId="4" fillId="3" borderId="2" xfId="0" applyNumberFormat="1" applyFont="1" applyFill="1" applyBorder="1" applyAlignment="1">
      <alignment vertical="center"/>
    </xf>
    <xf numFmtId="9" fontId="3" fillId="0" borderId="0" xfId="0" applyNumberFormat="1" applyFont="1" applyAlignment="1">
      <alignment horizontal="right"/>
    </xf>
    <xf numFmtId="9" fontId="3" fillId="0" borderId="0" xfId="0" applyNumberFormat="1" applyFont="1" applyAlignment="1">
      <alignment horizontal="center" vertical="center"/>
    </xf>
    <xf numFmtId="43" fontId="5" fillId="0" borderId="0" xfId="2" applyFont="1" applyFill="1" applyAlignment="1">
      <alignment vertical="center"/>
    </xf>
    <xf numFmtId="0" fontId="4" fillId="0" borderId="17" xfId="0" applyFont="1" applyBorder="1" applyAlignment="1">
      <alignment horizontal="center"/>
    </xf>
    <xf numFmtId="44" fontId="0" fillId="0" borderId="0" xfId="1" applyFont="1" applyAlignment="1">
      <alignment wrapText="1"/>
    </xf>
    <xf numFmtId="2" fontId="0" fillId="0" borderId="0" xfId="0" applyNumberFormat="1" applyAlignment="1">
      <alignment wrapText="1"/>
    </xf>
    <xf numFmtId="0" fontId="11" fillId="0" borderId="0" xfId="0" applyFont="1"/>
    <xf numFmtId="0" fontId="12" fillId="0" borderId="0" xfId="0" applyFont="1"/>
    <xf numFmtId="0" fontId="12" fillId="0" borderId="0" xfId="0" applyFont="1" applyAlignment="1">
      <alignment horizontal="right"/>
    </xf>
    <xf numFmtId="0" fontId="13" fillId="0" borderId="0" xfId="0" applyFont="1"/>
    <xf numFmtId="170" fontId="13" fillId="0" borderId="0" xfId="0" applyNumberFormat="1" applyFont="1" applyAlignment="1">
      <alignment horizontal="left" wrapText="1"/>
    </xf>
    <xf numFmtId="15" fontId="12" fillId="0" borderId="0" xfId="0" applyNumberFormat="1" applyFont="1" applyAlignment="1">
      <alignment wrapText="1"/>
    </xf>
    <xf numFmtId="0" fontId="14" fillId="0" borderId="0" xfId="0" applyFont="1" applyAlignment="1">
      <alignment vertical="center" wrapText="1"/>
    </xf>
    <xf numFmtId="0" fontId="12" fillId="0" borderId="0" xfId="0" applyFont="1" applyAlignment="1">
      <alignment wrapText="1"/>
    </xf>
    <xf numFmtId="44" fontId="12" fillId="0" borderId="0" xfId="0" applyNumberFormat="1" applyFont="1"/>
    <xf numFmtId="0" fontId="13" fillId="0" borderId="0" xfId="0" applyFont="1" applyAlignment="1">
      <alignment horizontal="right" wrapText="1"/>
    </xf>
    <xf numFmtId="167" fontId="12" fillId="0" borderId="0" xfId="0" applyNumberFormat="1" applyFont="1"/>
    <xf numFmtId="0" fontId="13" fillId="0" borderId="0" xfId="0" applyFont="1" applyAlignment="1">
      <alignment vertical="center"/>
    </xf>
    <xf numFmtId="170" fontId="13" fillId="0" borderId="0" xfId="0" applyNumberFormat="1" applyFont="1" applyAlignment="1">
      <alignment horizontal="left"/>
    </xf>
    <xf numFmtId="0" fontId="13" fillId="0" borderId="8" xfId="0" applyFont="1" applyBorder="1"/>
    <xf numFmtId="0" fontId="12" fillId="0" borderId="8" xfId="0" applyFont="1" applyBorder="1"/>
    <xf numFmtId="8" fontId="14" fillId="0" borderId="0" xfId="3" applyNumberFormat="1" applyFont="1" applyFill="1" applyBorder="1"/>
    <xf numFmtId="0" fontId="12" fillId="0" borderId="0" xfId="0" applyFont="1" applyAlignment="1">
      <alignment horizontal="left"/>
    </xf>
    <xf numFmtId="0" fontId="12" fillId="0" borderId="0" xfId="0" applyFont="1" applyAlignment="1">
      <alignment horizontal="center"/>
    </xf>
    <xf numFmtId="44" fontId="12" fillId="0" borderId="0" xfId="1" applyFont="1" applyAlignment="1">
      <alignment horizontal="left"/>
    </xf>
    <xf numFmtId="15" fontId="12" fillId="0" borderId="0" xfId="0" applyNumberFormat="1" applyFont="1"/>
    <xf numFmtId="44" fontId="12" fillId="0" borderId="0" xfId="1" applyFont="1" applyFill="1" applyBorder="1" applyAlignment="1">
      <alignment horizontal="left" vertical="center" wrapText="1"/>
    </xf>
    <xf numFmtId="0" fontId="12" fillId="0" borderId="0" xfId="0" applyFont="1" applyAlignment="1">
      <alignment vertical="center" wrapText="1"/>
    </xf>
    <xf numFmtId="0" fontId="12" fillId="0" borderId="0" xfId="0" applyFont="1" applyAlignment="1">
      <alignment vertical="center"/>
    </xf>
    <xf numFmtId="44" fontId="12" fillId="0" borderId="0" xfId="1" applyFont="1" applyFill="1" applyBorder="1" applyAlignment="1">
      <alignment horizontal="left" wrapText="1"/>
    </xf>
    <xf numFmtId="0" fontId="12" fillId="0" borderId="0" xfId="0" applyFont="1" applyAlignment="1">
      <alignment horizontal="center" wrapText="1"/>
    </xf>
    <xf numFmtId="8" fontId="12" fillId="0" borderId="0" xfId="0" applyNumberFormat="1" applyFont="1"/>
    <xf numFmtId="44" fontId="12" fillId="0" borderId="0" xfId="1" applyFont="1" applyFill="1" applyAlignment="1">
      <alignment horizontal="left"/>
    </xf>
    <xf numFmtId="0" fontId="12" fillId="0" borderId="0" xfId="0" applyFont="1" applyAlignment="1">
      <alignment horizontal="right" vertical="center"/>
    </xf>
    <xf numFmtId="170" fontId="13" fillId="0" borderId="0" xfId="0" applyNumberFormat="1" applyFont="1" applyAlignment="1">
      <alignment horizontal="left" vertical="center"/>
    </xf>
    <xf numFmtId="0" fontId="13" fillId="0" borderId="0" xfId="0" applyFont="1" applyAlignment="1">
      <alignment horizontal="center" vertical="center" wrapText="1"/>
    </xf>
    <xf numFmtId="0" fontId="13" fillId="0" borderId="0" xfId="0" applyFont="1" applyAlignment="1">
      <alignment vertical="center" wrapText="1"/>
    </xf>
    <xf numFmtId="0" fontId="13" fillId="0" borderId="0" xfId="0" applyFont="1" applyAlignment="1">
      <alignment horizontal="right" vertical="center" wrapText="1"/>
    </xf>
    <xf numFmtId="1" fontId="13" fillId="0" borderId="0" xfId="0" applyNumberFormat="1" applyFont="1" applyAlignment="1">
      <alignment vertical="center"/>
    </xf>
    <xf numFmtId="10" fontId="12" fillId="0" borderId="0" xfId="0" applyNumberFormat="1" applyFont="1"/>
    <xf numFmtId="44" fontId="12" fillId="0" borderId="0" xfId="1" applyFont="1"/>
    <xf numFmtId="44" fontId="12" fillId="0" borderId="17" xfId="0" applyNumberFormat="1" applyFont="1" applyBorder="1"/>
    <xf numFmtId="165" fontId="13" fillId="0" borderId="0" xfId="1" applyNumberFormat="1" applyFont="1" applyFill="1" applyBorder="1" applyAlignment="1">
      <alignment horizontal="center" vertical="center"/>
    </xf>
    <xf numFmtId="0" fontId="13" fillId="0" borderId="0" xfId="0" applyFont="1" applyAlignment="1">
      <alignment horizontal="center" vertical="center"/>
    </xf>
    <xf numFmtId="0" fontId="12" fillId="0" borderId="9" xfId="0" applyFont="1" applyBorder="1" applyAlignment="1">
      <alignment horizontal="center"/>
    </xf>
    <xf numFmtId="0" fontId="12" fillId="0" borderId="0" xfId="0" applyFont="1" applyAlignment="1">
      <alignment horizontal="right" vertical="center" wrapText="1"/>
    </xf>
    <xf numFmtId="170" fontId="13" fillId="0" borderId="0" xfId="0" applyNumberFormat="1" applyFont="1" applyAlignment="1">
      <alignment horizontal="left" vertical="center" wrapText="1"/>
    </xf>
    <xf numFmtId="15" fontId="12" fillId="0" borderId="0" xfId="0" applyNumberFormat="1" applyFont="1" applyAlignment="1">
      <alignment vertical="center" wrapText="1"/>
    </xf>
    <xf numFmtId="0" fontId="15" fillId="0" borderId="10" xfId="0" applyFont="1" applyBorder="1" applyAlignment="1">
      <alignment vertical="center" wrapText="1"/>
    </xf>
    <xf numFmtId="0" fontId="15" fillId="0" borderId="0" xfId="0" applyFont="1" applyAlignment="1">
      <alignment vertical="center" wrapText="1"/>
    </xf>
    <xf numFmtId="0" fontId="14" fillId="0" borderId="0" xfId="0" applyFont="1" applyAlignment="1">
      <alignment horizontal="left" vertical="center" wrapText="1"/>
    </xf>
    <xf numFmtId="44" fontId="13" fillId="0" borderId="0" xfId="0" applyNumberFormat="1" applyFont="1" applyAlignment="1">
      <alignment vertical="center" wrapText="1"/>
    </xf>
    <xf numFmtId="0" fontId="23" fillId="0" borderId="0" xfId="0" applyFont="1"/>
    <xf numFmtId="15" fontId="12" fillId="0" borderId="0" xfId="0" applyNumberFormat="1" applyFont="1" applyAlignment="1">
      <alignment vertical="center"/>
    </xf>
    <xf numFmtId="0" fontId="23" fillId="0" borderId="17" xfId="0" applyFont="1" applyBorder="1"/>
    <xf numFmtId="0" fontId="23" fillId="0" borderId="0" xfId="0" applyFont="1" applyAlignment="1">
      <alignment horizontal="center" vertical="center" wrapText="1"/>
    </xf>
    <xf numFmtId="0" fontId="12" fillId="0" borderId="17" xfId="0" applyFont="1" applyBorder="1" applyAlignment="1">
      <alignment vertical="center" wrapText="1"/>
    </xf>
    <xf numFmtId="10" fontId="12" fillId="0" borderId="17" xfId="0" applyNumberFormat="1" applyFont="1" applyBorder="1"/>
    <xf numFmtId="0" fontId="12" fillId="0" borderId="0" xfId="0" applyFont="1" applyAlignment="1">
      <alignment horizontal="center" vertical="center"/>
    </xf>
    <xf numFmtId="0" fontId="12" fillId="0" borderId="17" xfId="0" applyFont="1" applyBorder="1" applyAlignment="1">
      <alignment horizontal="center" vertical="center"/>
    </xf>
    <xf numFmtId="0" fontId="24" fillId="0" borderId="0" xfId="0" applyFont="1"/>
    <xf numFmtId="44" fontId="12" fillId="0" borderId="0" xfId="1" applyFont="1" applyBorder="1"/>
    <xf numFmtId="2" fontId="12" fillId="0" borderId="0" xfId="0" applyNumberFormat="1" applyFont="1"/>
    <xf numFmtId="171" fontId="12" fillId="0" borderId="0" xfId="1" applyNumberFormat="1" applyFont="1"/>
    <xf numFmtId="170" fontId="12" fillId="0" borderId="0" xfId="0" applyNumberFormat="1" applyFont="1"/>
    <xf numFmtId="0" fontId="18" fillId="0" borderId="0" xfId="4" applyFill="1" applyBorder="1" applyAlignment="1">
      <alignment horizontal="left" vertical="center" wrapText="1"/>
    </xf>
    <xf numFmtId="44" fontId="13" fillId="0" borderId="0" xfId="1" applyFont="1" applyBorder="1" applyAlignment="1">
      <alignment vertical="center" wrapText="1"/>
    </xf>
    <xf numFmtId="0" fontId="13" fillId="0" borderId="0" xfId="0" applyFont="1" applyAlignment="1">
      <alignment horizontal="left" vertical="center"/>
    </xf>
    <xf numFmtId="0" fontId="12" fillId="0" borderId="0" xfId="0" applyFont="1" applyAlignment="1">
      <alignment horizontal="center" vertical="center" wrapText="1"/>
    </xf>
    <xf numFmtId="43" fontId="12" fillId="0" borderId="0" xfId="2" applyFont="1" applyAlignment="1">
      <alignment horizontal="center" vertical="center" wrapText="1"/>
    </xf>
    <xf numFmtId="44" fontId="12" fillId="0" borderId="0" xfId="1" applyFont="1" applyAlignment="1">
      <alignment horizontal="center" vertical="center" wrapText="1"/>
    </xf>
    <xf numFmtId="43" fontId="13" fillId="0" borderId="0" xfId="0" applyNumberFormat="1" applyFont="1" applyAlignment="1">
      <alignment vertical="center" wrapText="1"/>
    </xf>
    <xf numFmtId="44" fontId="12" fillId="0" borderId="0" xfId="0" applyNumberFormat="1" applyFont="1" applyAlignment="1">
      <alignment vertical="center" wrapText="1"/>
    </xf>
    <xf numFmtId="0" fontId="12" fillId="0" borderId="0" xfId="0" applyFont="1" applyAlignment="1">
      <alignment horizontal="left" vertical="center" wrapText="1"/>
    </xf>
    <xf numFmtId="0" fontId="12" fillId="9" borderId="0" xfId="0" applyFont="1" applyFill="1" applyAlignment="1">
      <alignment horizontal="center" vertical="center" wrapText="1"/>
    </xf>
    <xf numFmtId="44" fontId="13" fillId="9" borderId="0" xfId="1" applyFont="1" applyFill="1" applyBorder="1" applyAlignment="1">
      <alignment vertical="center" wrapText="1"/>
    </xf>
    <xf numFmtId="0" fontId="13" fillId="0" borderId="0" xfId="0" applyFont="1" applyAlignment="1">
      <alignment wrapText="1"/>
    </xf>
    <xf numFmtId="0" fontId="15" fillId="0" borderId="0" xfId="0" applyFont="1" applyAlignment="1">
      <alignment wrapText="1"/>
    </xf>
    <xf numFmtId="0" fontId="11" fillId="0" borderId="0" xfId="0" applyFont="1" applyAlignment="1">
      <alignment wrapText="1"/>
    </xf>
    <xf numFmtId="0" fontId="10" fillId="0" borderId="0" xfId="0" applyFont="1" applyAlignment="1">
      <alignment horizontal="center" vertical="center" wrapText="1"/>
    </xf>
    <xf numFmtId="0" fontId="13" fillId="0" borderId="0" xfId="0" applyFont="1" applyAlignment="1">
      <alignment horizontal="center" wrapText="1"/>
    </xf>
    <xf numFmtId="44" fontId="14" fillId="0" borderId="0" xfId="0" applyNumberFormat="1" applyFont="1" applyAlignment="1">
      <alignment wrapText="1"/>
    </xf>
    <xf numFmtId="44" fontId="12" fillId="0" borderId="0" xfId="0" applyNumberFormat="1" applyFont="1" applyAlignment="1">
      <alignment wrapText="1"/>
    </xf>
    <xf numFmtId="0" fontId="14" fillId="0" borderId="0" xfId="0" applyFont="1" applyAlignment="1">
      <alignment wrapText="1"/>
    </xf>
    <xf numFmtId="0" fontId="14" fillId="0" borderId="0" xfId="0" applyFont="1" applyAlignment="1">
      <alignment horizontal="left" vertical="center"/>
    </xf>
    <xf numFmtId="0" fontId="12" fillId="0" borderId="0" xfId="0" applyFont="1" applyAlignment="1">
      <alignment horizontal="right" wrapText="1"/>
    </xf>
    <xf numFmtId="8" fontId="12" fillId="0" borderId="0" xfId="0" applyNumberFormat="1" applyFont="1" applyAlignment="1">
      <alignment wrapText="1"/>
    </xf>
    <xf numFmtId="1" fontId="12" fillId="0" borderId="0" xfId="0" applyNumberFormat="1" applyFont="1" applyAlignment="1">
      <alignment wrapText="1"/>
    </xf>
    <xf numFmtId="168" fontId="13" fillId="0" borderId="0" xfId="0" applyNumberFormat="1" applyFont="1" applyAlignment="1">
      <alignment wrapText="1"/>
    </xf>
    <xf numFmtId="1" fontId="12" fillId="0" borderId="0" xfId="0" applyNumberFormat="1" applyFont="1" applyAlignment="1">
      <alignment vertical="center" wrapText="1"/>
    </xf>
    <xf numFmtId="169" fontId="13" fillId="0" borderId="0" xfId="0" applyNumberFormat="1" applyFont="1" applyAlignment="1">
      <alignment vertical="center" wrapText="1"/>
    </xf>
    <xf numFmtId="0" fontId="10" fillId="0" borderId="0" xfId="0" applyFont="1" applyAlignment="1">
      <alignment horizontal="center" wrapText="1"/>
    </xf>
    <xf numFmtId="44" fontId="13" fillId="0" borderId="0" xfId="0" applyNumberFormat="1" applyFont="1" applyAlignment="1">
      <alignment wrapText="1"/>
    </xf>
    <xf numFmtId="43" fontId="0" fillId="0" borderId="0" xfId="0" applyNumberFormat="1" applyAlignment="1">
      <alignment wrapText="1"/>
    </xf>
    <xf numFmtId="0" fontId="14" fillId="0" borderId="0" xfId="0" applyFont="1" applyAlignment="1">
      <alignment horizontal="center" vertical="center" wrapText="1"/>
    </xf>
    <xf numFmtId="0" fontId="10" fillId="11" borderId="0" xfId="0" applyFont="1" applyFill="1" applyAlignment="1">
      <alignment vertical="center"/>
    </xf>
    <xf numFmtId="0" fontId="11" fillId="11" borderId="0" xfId="0" applyFont="1" applyFill="1" applyAlignment="1">
      <alignment vertical="center"/>
    </xf>
    <xf numFmtId="43" fontId="13" fillId="0" borderId="0" xfId="2" applyFont="1" applyBorder="1" applyAlignment="1">
      <alignment wrapText="1"/>
    </xf>
    <xf numFmtId="43" fontId="0" fillId="0" borderId="0" xfId="0" applyNumberFormat="1"/>
    <xf numFmtId="43" fontId="12" fillId="0" borderId="0" xfId="0" applyNumberFormat="1" applyFont="1" applyAlignment="1">
      <alignment vertical="center" wrapText="1"/>
    </xf>
    <xf numFmtId="1" fontId="19" fillId="16" borderId="22" xfId="5" applyNumberFormat="1">
      <alignment vertical="center"/>
    </xf>
    <xf numFmtId="43" fontId="19" fillId="16" borderId="22" xfId="5" applyNumberFormat="1">
      <alignment vertical="center"/>
    </xf>
    <xf numFmtId="9" fontId="18" fillId="14" borderId="22" xfId="4" applyNumberFormat="1" applyAlignment="1">
      <alignment horizontal="center" vertical="center"/>
    </xf>
    <xf numFmtId="43" fontId="19" fillId="16" borderId="22" xfId="2" applyFont="1" applyFill="1" applyBorder="1" applyAlignment="1">
      <alignment vertical="center"/>
    </xf>
    <xf numFmtId="9" fontId="18" fillId="14" borderId="25" xfId="4" applyNumberFormat="1" applyBorder="1" applyAlignment="1">
      <alignment horizontal="center" vertical="center"/>
    </xf>
    <xf numFmtId="1" fontId="19" fillId="16" borderId="25" xfId="5" applyNumberFormat="1" applyBorder="1">
      <alignment vertical="center"/>
    </xf>
    <xf numFmtId="43" fontId="19" fillId="16" borderId="25" xfId="5" applyNumberFormat="1" applyBorder="1">
      <alignment vertical="center"/>
    </xf>
    <xf numFmtId="43" fontId="19" fillId="16" borderId="25" xfId="2" applyFont="1" applyFill="1" applyBorder="1" applyAlignment="1">
      <alignment vertical="center"/>
    </xf>
    <xf numFmtId="44" fontId="19" fillId="16" borderId="22" xfId="1" applyFont="1" applyFill="1" applyBorder="1" applyAlignment="1">
      <alignment vertical="center"/>
    </xf>
    <xf numFmtId="44" fontId="19" fillId="16" borderId="25" xfId="1" applyFont="1" applyFill="1" applyBorder="1" applyAlignment="1">
      <alignment vertical="center"/>
    </xf>
    <xf numFmtId="43" fontId="12" fillId="0" borderId="0" xfId="2" applyFont="1" applyAlignment="1">
      <alignment vertical="center" wrapText="1"/>
    </xf>
    <xf numFmtId="172" fontId="12" fillId="0" borderId="0" xfId="2" applyNumberFormat="1" applyFont="1" applyAlignment="1">
      <alignment vertical="center" wrapText="1"/>
    </xf>
    <xf numFmtId="0" fontId="13" fillId="0" borderId="0" xfId="0" applyFont="1" applyAlignment="1">
      <alignment horizontal="left" vertical="center" wrapText="1"/>
    </xf>
    <xf numFmtId="43" fontId="12" fillId="0" borderId="0" xfId="0" applyNumberFormat="1" applyFont="1" applyAlignment="1">
      <alignment horizontal="left" vertical="center" wrapText="1"/>
    </xf>
    <xf numFmtId="0" fontId="0" fillId="0" borderId="0" xfId="0" applyAlignment="1">
      <alignment wrapText="1"/>
    </xf>
    <xf numFmtId="43" fontId="0" fillId="0" borderId="0" xfId="2" applyFont="1" applyAlignment="1">
      <alignment wrapText="1"/>
    </xf>
    <xf numFmtId="0" fontId="0" fillId="0" borderId="0" xfId="0" applyAlignment="1">
      <alignment horizontal="center" vertical="center" wrapText="1"/>
    </xf>
    <xf numFmtId="43" fontId="0" fillId="0" borderId="0" xfId="2" applyFont="1" applyFill="1" applyBorder="1" applyAlignment="1">
      <alignment horizontal="center" vertical="center" wrapText="1"/>
    </xf>
    <xf numFmtId="164" fontId="12" fillId="0" borderId="0" xfId="2" applyNumberFormat="1" applyFont="1" applyAlignment="1">
      <alignment vertical="center" wrapText="1"/>
    </xf>
    <xf numFmtId="172" fontId="12" fillId="0" borderId="0" xfId="0" applyNumberFormat="1" applyFont="1" applyAlignment="1">
      <alignment vertical="center" wrapText="1"/>
    </xf>
    <xf numFmtId="164" fontId="12" fillId="0" borderId="0" xfId="0" applyNumberFormat="1" applyFont="1" applyAlignment="1">
      <alignment vertical="center" wrapText="1"/>
    </xf>
    <xf numFmtId="44" fontId="0" fillId="0" borderId="0" xfId="1" applyFont="1"/>
    <xf numFmtId="44" fontId="0" fillId="0" borderId="0" xfId="0" applyNumberFormat="1"/>
    <xf numFmtId="43" fontId="0" fillId="0" borderId="0" xfId="2" applyFont="1"/>
    <xf numFmtId="43" fontId="12" fillId="9" borderId="0" xfId="2" applyFont="1" applyFill="1" applyBorder="1" applyAlignment="1">
      <alignment vertical="center" wrapText="1"/>
    </xf>
    <xf numFmtId="43" fontId="13" fillId="9" borderId="0" xfId="2" applyFont="1" applyFill="1" applyBorder="1" applyAlignment="1">
      <alignment vertical="center" wrapText="1"/>
    </xf>
    <xf numFmtId="44" fontId="12" fillId="0" borderId="19" xfId="1" applyFont="1" applyBorder="1" applyAlignment="1">
      <alignment vertical="center"/>
    </xf>
    <xf numFmtId="44" fontId="12" fillId="0" borderId="0" xfId="1" applyFont="1" applyBorder="1" applyAlignment="1">
      <alignment vertical="center"/>
    </xf>
    <xf numFmtId="44" fontId="12" fillId="0" borderId="21" xfId="1" applyFont="1" applyBorder="1" applyAlignment="1">
      <alignment vertical="center"/>
    </xf>
    <xf numFmtId="44" fontId="12" fillId="3" borderId="0" xfId="1" applyFont="1" applyFill="1" applyBorder="1" applyAlignment="1">
      <alignment vertical="center"/>
    </xf>
    <xf numFmtId="44" fontId="12" fillId="10" borderId="0" xfId="1" applyFont="1" applyFill="1" applyBorder="1" applyAlignment="1">
      <alignment vertical="center"/>
    </xf>
    <xf numFmtId="44" fontId="12" fillId="12" borderId="21" xfId="1" applyFont="1" applyFill="1" applyBorder="1" applyAlignment="1">
      <alignment vertical="center"/>
    </xf>
    <xf numFmtId="44" fontId="12" fillId="0" borderId="0" xfId="1" applyFont="1" applyAlignment="1">
      <alignment vertical="center"/>
    </xf>
    <xf numFmtId="44" fontId="12" fillId="7" borderId="19" xfId="1" applyFont="1" applyFill="1" applyBorder="1" applyAlignment="1">
      <alignment vertical="center"/>
    </xf>
    <xf numFmtId="44" fontId="12" fillId="0" borderId="18" xfId="1" applyFont="1" applyBorder="1" applyAlignment="1">
      <alignment vertical="center"/>
    </xf>
    <xf numFmtId="44" fontId="12" fillId="0" borderId="17" xfId="1" applyFont="1" applyBorder="1" applyAlignment="1">
      <alignment vertical="center"/>
    </xf>
    <xf numFmtId="44" fontId="12" fillId="0" borderId="16" xfId="1" applyFont="1" applyBorder="1" applyAlignment="1">
      <alignment vertical="center"/>
    </xf>
    <xf numFmtId="44" fontId="12" fillId="3" borderId="17" xfId="1" applyFont="1" applyFill="1" applyBorder="1" applyAlignment="1">
      <alignment vertical="center"/>
    </xf>
    <xf numFmtId="44" fontId="12" fillId="10" borderId="17" xfId="1" applyFont="1" applyFill="1" applyBorder="1" applyAlignment="1">
      <alignment vertical="center"/>
    </xf>
    <xf numFmtId="44" fontId="12" fillId="12" borderId="16" xfId="1" applyFont="1" applyFill="1" applyBorder="1" applyAlignment="1">
      <alignment vertical="center"/>
    </xf>
    <xf numFmtId="44" fontId="12" fillId="7" borderId="18" xfId="1" applyFont="1" applyFill="1" applyBorder="1" applyAlignment="1">
      <alignment vertical="center"/>
    </xf>
    <xf numFmtId="44" fontId="13" fillId="0" borderId="9" xfId="1" applyFont="1" applyBorder="1" applyAlignment="1">
      <alignment vertical="center"/>
    </xf>
    <xf numFmtId="44" fontId="13" fillId="3" borderId="20" xfId="1" applyFont="1" applyFill="1" applyBorder="1" applyAlignment="1">
      <alignment vertical="center"/>
    </xf>
    <xf numFmtId="44" fontId="13" fillId="10" borderId="9" xfId="1" applyFont="1" applyFill="1" applyBorder="1" applyAlignment="1">
      <alignment vertical="center"/>
    </xf>
    <xf numFmtId="44" fontId="13" fillId="12" borderId="15" xfId="1" applyFont="1" applyFill="1" applyBorder="1" applyAlignment="1">
      <alignment vertical="center"/>
    </xf>
    <xf numFmtId="44" fontId="13" fillId="7" borderId="20" xfId="1" applyFont="1" applyFill="1" applyBorder="1" applyAlignment="1">
      <alignment vertical="center"/>
    </xf>
    <xf numFmtId="44" fontId="12" fillId="9" borderId="0" xfId="1" applyFont="1" applyFill="1" applyBorder="1" applyAlignment="1">
      <alignment vertical="center" wrapText="1"/>
    </xf>
    <xf numFmtId="43" fontId="12" fillId="0" borderId="0" xfId="0" applyNumberFormat="1" applyFont="1" applyAlignment="1">
      <alignment wrapText="1"/>
    </xf>
    <xf numFmtId="43" fontId="13" fillId="0" borderId="0" xfId="0" applyNumberFormat="1" applyFont="1" applyAlignment="1">
      <alignment wrapText="1"/>
    </xf>
    <xf numFmtId="43" fontId="18" fillId="14" borderId="22" xfId="4" applyNumberFormat="1">
      <alignment horizontal="left" vertical="center"/>
    </xf>
    <xf numFmtId="44" fontId="12" fillId="0" borderId="0" xfId="1" applyFont="1" applyFill="1" applyBorder="1" applyAlignment="1">
      <alignment wrapText="1"/>
    </xf>
    <xf numFmtId="44" fontId="13" fillId="0" borderId="0" xfId="1" applyFont="1" applyFill="1" applyBorder="1" applyAlignment="1">
      <alignment wrapText="1"/>
    </xf>
    <xf numFmtId="3" fontId="12" fillId="0" borderId="0" xfId="0" applyNumberFormat="1" applyFont="1"/>
    <xf numFmtId="4" fontId="12" fillId="0" borderId="0" xfId="0" applyNumberFormat="1" applyFont="1"/>
    <xf numFmtId="44" fontId="12" fillId="0" borderId="0" xfId="1" applyFont="1" applyFill="1" applyBorder="1"/>
    <xf numFmtId="43" fontId="0" fillId="0" borderId="0" xfId="2" applyFont="1" applyAlignment="1">
      <alignment horizontal="right"/>
    </xf>
    <xf numFmtId="43" fontId="0" fillId="0" borderId="0" xfId="2" applyFont="1" applyFill="1" applyBorder="1"/>
    <xf numFmtId="43" fontId="12" fillId="0" borderId="0" xfId="2" applyFont="1" applyFill="1" applyBorder="1"/>
    <xf numFmtId="43" fontId="12" fillId="0" borderId="9" xfId="2" applyFont="1" applyFill="1" applyBorder="1"/>
    <xf numFmtId="43" fontId="27" fillId="8" borderId="0" xfId="7" applyNumberFormat="1" applyBorder="1" applyAlignment="1">
      <alignment horizontal="right"/>
    </xf>
    <xf numFmtId="43" fontId="27" fillId="8" borderId="9" xfId="7" applyNumberFormat="1" applyBorder="1" applyAlignment="1">
      <alignment horizontal="right"/>
    </xf>
    <xf numFmtId="44" fontId="19" fillId="16" borderId="22" xfId="5" applyNumberFormat="1">
      <alignment vertical="center"/>
    </xf>
    <xf numFmtId="44" fontId="10" fillId="0" borderId="0" xfId="1" applyFont="1" applyFill="1" applyBorder="1" applyAlignment="1">
      <alignment horizontal="center" vertical="center" wrapText="1"/>
    </xf>
    <xf numFmtId="164" fontId="27" fillId="8" borderId="0" xfId="7" applyNumberFormat="1" applyBorder="1" applyAlignment="1">
      <alignment vertical="center" wrapText="1"/>
    </xf>
    <xf numFmtId="44" fontId="0" fillId="0" borderId="0" xfId="1" applyFont="1" applyFill="1" applyBorder="1" applyAlignment="1">
      <alignment horizontal="center" vertical="center" wrapText="1"/>
    </xf>
    <xf numFmtId="169" fontId="19" fillId="16" borderId="22" xfId="5" applyNumberFormat="1">
      <alignment vertical="center"/>
    </xf>
    <xf numFmtId="44" fontId="12" fillId="0" borderId="0" xfId="1" applyFont="1" applyFill="1" applyBorder="1" applyAlignment="1">
      <alignment vertical="center" wrapText="1"/>
    </xf>
    <xf numFmtId="0" fontId="15" fillId="0" borderId="0" xfId="0" applyFont="1" applyAlignment="1">
      <alignment horizontal="left" vertical="center"/>
    </xf>
    <xf numFmtId="44" fontId="0" fillId="0" borderId="0" xfId="0" applyNumberFormat="1" applyAlignment="1">
      <alignment wrapText="1"/>
    </xf>
    <xf numFmtId="0" fontId="29" fillId="0" borderId="0" xfId="0" applyFont="1"/>
    <xf numFmtId="9" fontId="0" fillId="0" borderId="0" xfId="3" applyFont="1" applyAlignment="1">
      <alignment horizontal="center"/>
    </xf>
    <xf numFmtId="1" fontId="0" fillId="0" borderId="0" xfId="0" applyNumberFormat="1"/>
    <xf numFmtId="1" fontId="0" fillId="0" borderId="0" xfId="0" applyNumberFormat="1" applyAlignment="1">
      <alignment horizontal="center"/>
    </xf>
    <xf numFmtId="0" fontId="0" fillId="0" borderId="0" xfId="0" applyAlignment="1">
      <alignment horizontal="center"/>
    </xf>
    <xf numFmtId="0" fontId="30" fillId="0" borderId="0" xfId="0" applyFont="1"/>
    <xf numFmtId="0" fontId="31" fillId="0" borderId="0" xfId="0" applyFont="1"/>
    <xf numFmtId="0" fontId="0" fillId="18" borderId="0" xfId="0" applyFill="1"/>
    <xf numFmtId="0" fontId="0" fillId="0" borderId="13" xfId="0" applyBorder="1"/>
    <xf numFmtId="0" fontId="29" fillId="0" borderId="13" xfId="0" applyFont="1" applyBorder="1" applyAlignment="1">
      <alignment horizontal="center"/>
    </xf>
    <xf numFmtId="0" fontId="29" fillId="0" borderId="14" xfId="0" applyFont="1" applyBorder="1" applyAlignment="1">
      <alignment horizontal="center"/>
    </xf>
    <xf numFmtId="0" fontId="0" fillId="0" borderId="4" xfId="0" applyBorder="1" applyAlignment="1">
      <alignment horizontal="center"/>
    </xf>
    <xf numFmtId="0" fontId="29" fillId="0" borderId="6" xfId="0" applyFont="1" applyBorder="1"/>
    <xf numFmtId="0" fontId="29" fillId="0" borderId="13" xfId="0" applyFont="1" applyBorder="1"/>
    <xf numFmtId="1" fontId="0" fillId="0" borderId="13" xfId="0" applyNumberFormat="1" applyBorder="1" applyAlignment="1">
      <alignment horizontal="center"/>
    </xf>
    <xf numFmtId="1" fontId="0" fillId="0" borderId="14" xfId="0" applyNumberFormat="1" applyBorder="1" applyAlignment="1">
      <alignment horizontal="center"/>
    </xf>
    <xf numFmtId="166" fontId="0" fillId="0" borderId="0" xfId="3" applyNumberFormat="1" applyFont="1" applyBorder="1" applyAlignment="1">
      <alignment horizontal="center"/>
    </xf>
    <xf numFmtId="1" fontId="29" fillId="0" borderId="0" xfId="0" applyNumberFormat="1" applyFont="1" applyAlignment="1">
      <alignment horizontal="center"/>
    </xf>
    <xf numFmtId="1" fontId="29" fillId="0" borderId="4" xfId="0" applyNumberFormat="1" applyFont="1" applyBorder="1" applyAlignment="1">
      <alignment horizontal="center"/>
    </xf>
    <xf numFmtId="0" fontId="29" fillId="0" borderId="0" xfId="0" applyFont="1" applyAlignment="1">
      <alignment horizontal="center"/>
    </xf>
    <xf numFmtId="0" fontId="29" fillId="0" borderId="4" xfId="0" applyFont="1" applyBorder="1" applyAlignment="1">
      <alignment horizontal="center"/>
    </xf>
    <xf numFmtId="1" fontId="0" fillId="0" borderId="4" xfId="0" applyNumberFormat="1" applyBorder="1" applyAlignment="1">
      <alignment horizontal="center"/>
    </xf>
    <xf numFmtId="0" fontId="33" fillId="0" borderId="3" xfId="0" applyFont="1" applyBorder="1"/>
    <xf numFmtId="0" fontId="0" fillId="0" borderId="4" xfId="0" applyBorder="1"/>
    <xf numFmtId="0" fontId="0" fillId="0" borderId="3" xfId="0" applyBorder="1"/>
    <xf numFmtId="0" fontId="29" fillId="0" borderId="3" xfId="0" applyFont="1" applyBorder="1"/>
    <xf numFmtId="0" fontId="29" fillId="0" borderId="3" xfId="0" applyFont="1" applyBorder="1" applyAlignment="1">
      <alignment wrapText="1"/>
    </xf>
    <xf numFmtId="0" fontId="0" fillId="0" borderId="5" xfId="0" applyBorder="1"/>
    <xf numFmtId="0" fontId="29" fillId="0" borderId="3" xfId="0" applyFont="1" applyBorder="1" applyAlignment="1">
      <alignment horizontal="left" vertical="center"/>
    </xf>
    <xf numFmtId="0" fontId="33" fillId="0" borderId="5" xfId="0" applyFont="1" applyBorder="1"/>
    <xf numFmtId="0" fontId="0" fillId="0" borderId="6" xfId="0" applyBorder="1"/>
    <xf numFmtId="0" fontId="0" fillId="0" borderId="7" xfId="0" applyBorder="1"/>
    <xf numFmtId="0" fontId="13" fillId="0" borderId="9" xfId="0" applyFont="1" applyBorder="1" applyAlignment="1">
      <alignment horizontal="center" vertical="center" wrapText="1"/>
    </xf>
    <xf numFmtId="0" fontId="14" fillId="0" borderId="11" xfId="0" applyFont="1" applyBorder="1" applyAlignment="1">
      <alignment horizontal="left" vertical="center" wrapText="1"/>
    </xf>
    <xf numFmtId="1" fontId="29" fillId="19" borderId="6" xfId="0" applyNumberFormat="1" applyFont="1" applyFill="1" applyBorder="1" applyAlignment="1">
      <alignment horizontal="center"/>
    </xf>
    <xf numFmtId="1" fontId="29" fillId="19" borderId="7" xfId="0" applyNumberFormat="1" applyFont="1" applyFill="1" applyBorder="1" applyAlignment="1">
      <alignment horizontal="center"/>
    </xf>
    <xf numFmtId="0" fontId="0" fillId="19" borderId="0" xfId="0" applyFill="1" applyAlignment="1">
      <alignment horizontal="center"/>
    </xf>
    <xf numFmtId="0" fontId="0" fillId="19" borderId="4" xfId="0" applyFill="1" applyBorder="1" applyAlignment="1">
      <alignment horizontal="center" vertical="center"/>
    </xf>
    <xf numFmtId="0" fontId="0" fillId="19" borderId="4" xfId="0" applyFill="1" applyBorder="1" applyAlignment="1">
      <alignment horizontal="center"/>
    </xf>
    <xf numFmtId="0" fontId="0" fillId="19" borderId="6" xfId="0" applyFill="1" applyBorder="1" applyAlignment="1">
      <alignment horizontal="center"/>
    </xf>
    <xf numFmtId="0" fontId="0" fillId="19" borderId="7" xfId="0" applyFill="1" applyBorder="1" applyAlignment="1">
      <alignment horizontal="center"/>
    </xf>
    <xf numFmtId="44" fontId="12" fillId="0" borderId="0" xfId="0" applyNumberFormat="1" applyFont="1" applyAlignment="1">
      <alignment horizontal="center"/>
    </xf>
    <xf numFmtId="43" fontId="12" fillId="0" borderId="0" xfId="2" applyFont="1" applyAlignment="1">
      <alignment vertical="center"/>
    </xf>
    <xf numFmtId="164" fontId="19" fillId="16" borderId="22" xfId="2" applyNumberFormat="1" applyFont="1" applyFill="1" applyBorder="1" applyAlignment="1">
      <alignment vertical="center"/>
    </xf>
    <xf numFmtId="164" fontId="19" fillId="16" borderId="25" xfId="2" applyNumberFormat="1" applyFont="1" applyFill="1" applyBorder="1" applyAlignment="1">
      <alignment vertical="center"/>
    </xf>
    <xf numFmtId="165" fontId="12" fillId="0" borderId="0" xfId="0" applyNumberFormat="1" applyFont="1" applyAlignment="1">
      <alignment horizontal="center" wrapText="1"/>
    </xf>
    <xf numFmtId="0" fontId="13" fillId="0" borderId="0" xfId="0" applyFont="1" applyAlignment="1">
      <alignment horizontal="left" wrapText="1"/>
    </xf>
    <xf numFmtId="44" fontId="13" fillId="0" borderId="0" xfId="1" applyFont="1" applyFill="1" applyBorder="1" applyAlignment="1">
      <alignment horizontal="center" wrapText="1"/>
    </xf>
    <xf numFmtId="0" fontId="12" fillId="0" borderId="0" xfId="0" applyFont="1" applyAlignment="1">
      <alignment horizontal="left" wrapText="1"/>
    </xf>
    <xf numFmtId="164" fontId="18" fillId="0" borderId="0" xfId="4" applyNumberFormat="1" applyFill="1" applyBorder="1">
      <alignment horizontal="left" vertical="center"/>
    </xf>
    <xf numFmtId="0" fontId="12" fillId="0" borderId="0" xfId="3" applyNumberFormat="1" applyFont="1" applyFill="1" applyBorder="1"/>
    <xf numFmtId="44" fontId="13" fillId="0" borderId="0" xfId="1" applyFont="1" applyFill="1" applyBorder="1"/>
    <xf numFmtId="0" fontId="13" fillId="4" borderId="0" xfId="0" applyFont="1" applyFill="1" applyAlignment="1">
      <alignment horizontal="left" wrapText="1"/>
    </xf>
    <xf numFmtId="0" fontId="13" fillId="4" borderId="0" xfId="0" applyFont="1" applyFill="1" applyAlignment="1">
      <alignment horizontal="center" wrapText="1"/>
    </xf>
    <xf numFmtId="44" fontId="13" fillId="4" borderId="0" xfId="1" applyFont="1" applyFill="1" applyBorder="1" applyAlignment="1">
      <alignment horizontal="left" wrapText="1"/>
    </xf>
    <xf numFmtId="0" fontId="13" fillId="4" borderId="0" xfId="0" applyFont="1" applyFill="1" applyAlignment="1">
      <alignment wrapText="1"/>
    </xf>
    <xf numFmtId="43" fontId="12" fillId="4" borderId="0" xfId="2" applyFont="1" applyFill="1" applyBorder="1" applyAlignment="1">
      <alignment wrapText="1"/>
    </xf>
    <xf numFmtId="165" fontId="12" fillId="4" borderId="0" xfId="0" applyNumberFormat="1" applyFont="1" applyFill="1" applyAlignment="1">
      <alignment horizontal="center" wrapText="1"/>
    </xf>
    <xf numFmtId="0" fontId="20" fillId="4" borderId="0" xfId="0" applyFont="1" applyFill="1" applyAlignment="1">
      <alignment wrapText="1"/>
    </xf>
    <xf numFmtId="0" fontId="18" fillId="0" borderId="0" xfId="6" applyFont="1" applyFill="1" applyBorder="1" applyAlignment="1">
      <alignment vertical="center" wrapText="1"/>
    </xf>
    <xf numFmtId="0" fontId="13" fillId="0" borderId="0" xfId="0" applyFont="1" applyAlignment="1">
      <alignment horizontal="left"/>
    </xf>
    <xf numFmtId="0" fontId="18" fillId="14" borderId="22" xfId="4" applyAlignment="1">
      <alignment horizontal="center" vertical="center"/>
    </xf>
    <xf numFmtId="0" fontId="13" fillId="0" borderId="0" xfId="0" applyFont="1" applyAlignment="1">
      <alignment horizontal="right"/>
    </xf>
    <xf numFmtId="0" fontId="15" fillId="0" borderId="1" xfId="0" applyFont="1" applyBorder="1" applyAlignment="1">
      <alignment vertical="center" wrapText="1"/>
    </xf>
    <xf numFmtId="44" fontId="12" fillId="0" borderId="0" xfId="0" applyNumberFormat="1" applyFont="1" applyAlignment="1">
      <alignment horizontal="left" vertical="center" wrapText="1"/>
    </xf>
    <xf numFmtId="44" fontId="12" fillId="0" borderId="0" xfId="1" applyFont="1" applyFill="1" applyBorder="1" applyAlignment="1">
      <alignment horizontal="center" vertical="center" wrapText="1"/>
    </xf>
    <xf numFmtId="164" fontId="12" fillId="0" borderId="0" xfId="2" applyNumberFormat="1" applyFont="1" applyFill="1" applyBorder="1" applyAlignment="1">
      <alignment horizontal="left" vertical="center" wrapText="1"/>
    </xf>
    <xf numFmtId="164" fontId="12" fillId="0" borderId="0" xfId="2" applyNumberFormat="1" applyFont="1" applyFill="1" applyAlignment="1">
      <alignment horizontal="left" vertical="center" wrapText="1"/>
    </xf>
    <xf numFmtId="44" fontId="12" fillId="0" borderId="0" xfId="1" applyFont="1" applyAlignment="1">
      <alignment horizontal="left" wrapText="1"/>
    </xf>
    <xf numFmtId="44" fontId="12" fillId="0" borderId="0" xfId="1" applyFont="1" applyFill="1" applyAlignment="1">
      <alignment horizontal="left" wrapText="1"/>
    </xf>
    <xf numFmtId="44" fontId="12" fillId="0" borderId="0" xfId="0" applyNumberFormat="1" applyFont="1" applyAlignment="1">
      <alignment vertical="center"/>
    </xf>
    <xf numFmtId="44" fontId="13" fillId="0" borderId="0" xfId="0" applyNumberFormat="1" applyFont="1"/>
    <xf numFmtId="0" fontId="16" fillId="0" borderId="0" xfId="0" applyFont="1"/>
    <xf numFmtId="44" fontId="36" fillId="0" borderId="0" xfId="0" applyNumberFormat="1" applyFont="1"/>
    <xf numFmtId="44" fontId="36" fillId="0" borderId="0" xfId="1" applyFont="1" applyFill="1" applyBorder="1"/>
    <xf numFmtId="0" fontId="12" fillId="0" borderId="0" xfId="0" applyFont="1" applyAlignment="1">
      <alignment horizontal="left" vertical="center" indent="1"/>
    </xf>
    <xf numFmtId="0" fontId="12" fillId="0" borderId="0" xfId="0" applyFont="1" applyAlignment="1">
      <alignment horizontal="left" vertical="center" indent="2"/>
    </xf>
    <xf numFmtId="0" fontId="32" fillId="0" borderId="0" xfId="0" applyFont="1" applyAlignment="1">
      <alignment vertical="center"/>
    </xf>
    <xf numFmtId="0" fontId="34" fillId="0" borderId="0" xfId="0" applyFont="1" applyAlignment="1">
      <alignment horizontal="center" vertical="center"/>
    </xf>
    <xf numFmtId="0" fontId="35" fillId="0" borderId="0" xfId="0" applyFont="1" applyAlignment="1">
      <alignment horizontal="center" wrapText="1"/>
    </xf>
    <xf numFmtId="0" fontId="11" fillId="0" borderId="0" xfId="0" applyFont="1" applyAlignment="1">
      <alignment horizontal="center" vertical="center"/>
    </xf>
    <xf numFmtId="44" fontId="12" fillId="0" borderId="0" xfId="1" applyFont="1" applyFill="1" applyBorder="1" applyAlignment="1">
      <alignment horizontal="center"/>
    </xf>
    <xf numFmtId="0" fontId="14" fillId="0" borderId="0" xfId="0" applyFont="1" applyAlignment="1">
      <alignment horizontal="center" vertical="center"/>
    </xf>
    <xf numFmtId="173" fontId="14" fillId="0" borderId="0" xfId="0" applyNumberFormat="1" applyFont="1" applyAlignment="1">
      <alignment horizontal="center" vertical="center"/>
    </xf>
    <xf numFmtId="0" fontId="34" fillId="0" borderId="0" xfId="0" applyFont="1" applyAlignment="1">
      <alignment horizontal="center" vertical="center" wrapText="1"/>
    </xf>
    <xf numFmtId="173" fontId="35" fillId="0" borderId="0" xfId="0" applyNumberFormat="1" applyFont="1" applyAlignment="1">
      <alignment horizontal="center" vertical="center"/>
    </xf>
    <xf numFmtId="0" fontId="11" fillId="0" borderId="0" xfId="0" applyFont="1" applyAlignment="1">
      <alignment horizontal="center" vertical="center" wrapText="1"/>
    </xf>
    <xf numFmtId="0" fontId="0" fillId="0" borderId="0" xfId="0" applyAlignment="1">
      <alignment vertical="center" wrapText="1"/>
    </xf>
    <xf numFmtId="44" fontId="0" fillId="0" borderId="0" xfId="0" applyNumberFormat="1" applyAlignment="1">
      <alignment vertical="center" wrapText="1"/>
    </xf>
    <xf numFmtId="1" fontId="0" fillId="0" borderId="0" xfId="0" applyNumberFormat="1" applyAlignment="1">
      <alignment vertical="center" wrapText="1"/>
    </xf>
    <xf numFmtId="0" fontId="29" fillId="0" borderId="0" xfId="0" applyFont="1" applyAlignment="1">
      <alignment horizontal="center" vertical="center" wrapText="1"/>
    </xf>
    <xf numFmtId="0" fontId="29" fillId="0" borderId="0" xfId="0" applyFont="1" applyAlignment="1">
      <alignment vertical="center"/>
    </xf>
    <xf numFmtId="164" fontId="0" fillId="0" borderId="0" xfId="2" applyNumberFormat="1" applyFont="1" applyAlignment="1">
      <alignment vertical="center" wrapText="1"/>
    </xf>
    <xf numFmtId="164" fontId="28" fillId="0" borderId="0" xfId="2" applyNumberFormat="1" applyFont="1" applyAlignment="1">
      <alignment vertical="center" wrapText="1"/>
    </xf>
    <xf numFmtId="2" fontId="0" fillId="0" borderId="0" xfId="0" applyNumberFormat="1" applyAlignment="1">
      <alignment vertical="center" wrapText="1"/>
    </xf>
    <xf numFmtId="0" fontId="0" fillId="0" borderId="0" xfId="0" applyAlignment="1">
      <alignment vertical="center"/>
    </xf>
    <xf numFmtId="44" fontId="0" fillId="0" borderId="0" xfId="1" applyFont="1" applyAlignment="1">
      <alignment vertical="center" wrapText="1"/>
    </xf>
    <xf numFmtId="0" fontId="0" fillId="0" borderId="0" xfId="3" applyNumberFormat="1" applyFont="1" applyAlignment="1">
      <alignment horizontal="center" vertical="center" wrapText="1"/>
    </xf>
    <xf numFmtId="0" fontId="28" fillId="0" borderId="0" xfId="0" applyFont="1" applyAlignment="1">
      <alignment horizontal="center"/>
    </xf>
    <xf numFmtId="0" fontId="12" fillId="0" borderId="24" xfId="0" applyFont="1" applyBorder="1" applyAlignment="1">
      <alignment horizontal="center" vertical="center"/>
    </xf>
    <xf numFmtId="44" fontId="12" fillId="0" borderId="27" xfId="1" applyFont="1" applyBorder="1" applyAlignment="1">
      <alignment vertical="center"/>
    </xf>
    <xf numFmtId="44" fontId="12" fillId="0" borderId="24" xfId="1" applyFont="1" applyBorder="1" applyAlignment="1">
      <alignment vertical="center"/>
    </xf>
    <xf numFmtId="44" fontId="12" fillId="0" borderId="28" xfId="1" applyFont="1" applyBorder="1" applyAlignment="1">
      <alignment vertical="center"/>
    </xf>
    <xf numFmtId="44" fontId="12" fillId="3" borderId="24" xfId="1" applyFont="1" applyFill="1" applyBorder="1" applyAlignment="1">
      <alignment vertical="center"/>
    </xf>
    <xf numFmtId="44" fontId="12" fillId="10" borderId="24" xfId="1" applyFont="1" applyFill="1" applyBorder="1" applyAlignment="1">
      <alignment vertical="center"/>
    </xf>
    <xf numFmtId="44" fontId="12" fillId="12" borderId="28" xfId="1" applyFont="1" applyFill="1" applyBorder="1" applyAlignment="1">
      <alignment vertical="center"/>
    </xf>
    <xf numFmtId="44" fontId="12" fillId="7" borderId="27" xfId="1" applyFont="1" applyFill="1" applyBorder="1" applyAlignment="1">
      <alignment vertical="center"/>
    </xf>
    <xf numFmtId="44" fontId="13" fillId="0" borderId="15" xfId="1" applyFont="1" applyBorder="1" applyAlignment="1">
      <alignment vertical="center"/>
    </xf>
    <xf numFmtId="0" fontId="13" fillId="0" borderId="20" xfId="0" applyFont="1" applyBorder="1" applyAlignment="1">
      <alignment horizontal="center" vertical="center" wrapText="1"/>
    </xf>
    <xf numFmtId="0" fontId="13" fillId="0" borderId="15" xfId="0" applyFont="1" applyBorder="1" applyAlignment="1">
      <alignment horizontal="center" vertical="center" wrapText="1"/>
    </xf>
    <xf numFmtId="0" fontId="13" fillId="3" borderId="20" xfId="0" applyFont="1" applyFill="1" applyBorder="1" applyAlignment="1">
      <alignment horizontal="center" vertical="center" wrapText="1"/>
    </xf>
    <xf numFmtId="0" fontId="13" fillId="10" borderId="9" xfId="0" applyFont="1" applyFill="1" applyBorder="1" applyAlignment="1">
      <alignment horizontal="center" vertical="center" wrapText="1"/>
    </xf>
    <xf numFmtId="0" fontId="13" fillId="12" borderId="15" xfId="0" applyFont="1" applyFill="1" applyBorder="1" applyAlignment="1">
      <alignment horizontal="center" vertical="center" wrapText="1"/>
    </xf>
    <xf numFmtId="0" fontId="13" fillId="7" borderId="20" xfId="0" applyFont="1" applyFill="1" applyBorder="1" applyAlignment="1">
      <alignment horizontal="center" vertical="center" wrapText="1"/>
    </xf>
    <xf numFmtId="0" fontId="12" fillId="0" borderId="0" xfId="1" applyNumberFormat="1" applyFont="1" applyAlignment="1">
      <alignment horizontal="center" vertical="center" wrapText="1"/>
    </xf>
    <xf numFmtId="43" fontId="12" fillId="0" borderId="0" xfId="2" applyFont="1"/>
    <xf numFmtId="44" fontId="13" fillId="0" borderId="0" xfId="1" applyFont="1"/>
    <xf numFmtId="9" fontId="12" fillId="0" borderId="0" xfId="0" applyNumberFormat="1" applyFont="1" applyAlignment="1">
      <alignment horizontal="center"/>
    </xf>
    <xf numFmtId="44" fontId="12" fillId="0" borderId="0" xfId="0" applyNumberFormat="1" applyFont="1" applyAlignment="1">
      <alignment horizontal="left" vertical="center"/>
    </xf>
    <xf numFmtId="2" fontId="12" fillId="0" borderId="0" xfId="0" applyNumberFormat="1" applyFont="1" applyAlignment="1">
      <alignment vertical="center"/>
    </xf>
    <xf numFmtId="44" fontId="12" fillId="0" borderId="0" xfId="1" applyFont="1" applyFill="1" applyBorder="1" applyAlignment="1">
      <alignment horizontal="right" vertical="center"/>
    </xf>
    <xf numFmtId="0" fontId="14" fillId="0" borderId="0" xfId="0" applyFont="1" applyAlignment="1">
      <alignment vertical="center"/>
    </xf>
    <xf numFmtId="44" fontId="14" fillId="0" borderId="0" xfId="0" applyNumberFormat="1" applyFont="1" applyAlignment="1">
      <alignment horizontal="center" vertical="center"/>
    </xf>
    <xf numFmtId="44" fontId="14" fillId="0" borderId="0" xfId="1" applyFont="1" applyFill="1" applyBorder="1" applyAlignment="1">
      <alignment vertical="center"/>
    </xf>
    <xf numFmtId="44" fontId="14" fillId="0" borderId="0" xfId="0" applyNumberFormat="1" applyFont="1" applyAlignment="1">
      <alignment vertical="center"/>
    </xf>
    <xf numFmtId="2" fontId="13" fillId="0" borderId="0" xfId="0" applyNumberFormat="1" applyFont="1" applyAlignment="1">
      <alignment horizontal="center" vertical="center"/>
    </xf>
    <xf numFmtId="0" fontId="13" fillId="0" borderId="17" xfId="0" applyFont="1" applyBorder="1" applyAlignment="1">
      <alignment vertical="center"/>
    </xf>
    <xf numFmtId="43" fontId="12" fillId="0" borderId="0" xfId="2" applyFont="1" applyAlignment="1">
      <alignment wrapText="1"/>
    </xf>
    <xf numFmtId="43" fontId="0" fillId="0" borderId="0" xfId="2" applyFont="1" applyFill="1" applyAlignment="1">
      <alignment horizontal="center" vertical="center" wrapText="1"/>
    </xf>
    <xf numFmtId="0" fontId="0" fillId="0" borderId="0" xfId="0" applyAlignment="1">
      <alignment horizontal="center" wrapText="1"/>
    </xf>
    <xf numFmtId="1" fontId="0" fillId="0" borderId="0" xfId="0" applyNumberFormat="1" applyAlignment="1">
      <alignment wrapText="1"/>
    </xf>
    <xf numFmtId="0" fontId="11" fillId="11" borderId="0" xfId="0" applyFont="1" applyFill="1" applyAlignment="1">
      <alignment vertical="center" wrapText="1"/>
    </xf>
    <xf numFmtId="0" fontId="18" fillId="14" borderId="22" xfId="4">
      <alignment horizontal="left" vertical="center"/>
    </xf>
    <xf numFmtId="44" fontId="18" fillId="14" borderId="22" xfId="4" applyNumberFormat="1">
      <alignment horizontal="left" vertical="center"/>
    </xf>
    <xf numFmtId="0" fontId="18" fillId="14" borderId="22" xfId="4" applyNumberFormat="1">
      <alignment horizontal="left" vertical="center"/>
    </xf>
    <xf numFmtId="0" fontId="12" fillId="6" borderId="12" xfId="0" applyFont="1" applyFill="1" applyBorder="1"/>
    <xf numFmtId="0" fontId="12" fillId="6" borderId="13" xfId="0" applyFont="1" applyFill="1" applyBorder="1"/>
    <xf numFmtId="0" fontId="13" fillId="6" borderId="13" xfId="0" applyFont="1" applyFill="1" applyBorder="1" applyAlignment="1">
      <alignment horizontal="right"/>
    </xf>
    <xf numFmtId="44" fontId="13" fillId="6" borderId="14" xfId="1" applyFont="1" applyFill="1" applyBorder="1"/>
    <xf numFmtId="9" fontId="18" fillId="14" borderId="22" xfId="4" applyNumberFormat="1">
      <alignment horizontal="left" vertical="center"/>
    </xf>
    <xf numFmtId="3" fontId="18" fillId="14" borderId="0" xfId="4" applyNumberFormat="1" applyBorder="1" applyAlignment="1">
      <alignment horizontal="right" vertical="center" wrapText="1"/>
    </xf>
    <xf numFmtId="174" fontId="18" fillId="14" borderId="0" xfId="4" applyNumberFormat="1" applyBorder="1" applyAlignment="1">
      <alignment horizontal="right" vertical="center" wrapText="1"/>
    </xf>
    <xf numFmtId="44" fontId="12" fillId="0" borderId="0" xfId="8" applyFont="1" applyFill="1" applyBorder="1" applyAlignment="1">
      <alignment horizontal="right" vertical="center"/>
    </xf>
    <xf numFmtId="44" fontId="14" fillId="0" borderId="0" xfId="8" applyFont="1" applyFill="1" applyBorder="1" applyAlignment="1">
      <alignment vertical="center"/>
    </xf>
    <xf numFmtId="43" fontId="12" fillId="0" borderId="0" xfId="9" applyFont="1" applyAlignment="1">
      <alignment horizontal="center" vertical="center" wrapText="1"/>
    </xf>
    <xf numFmtId="44" fontId="12" fillId="0" borderId="0" xfId="8" applyFont="1" applyAlignment="1">
      <alignment horizontal="center" vertical="center" wrapText="1"/>
    </xf>
    <xf numFmtId="44" fontId="0" fillId="0" borderId="0" xfId="8" applyFont="1" applyAlignment="1">
      <alignment wrapText="1"/>
    </xf>
    <xf numFmtId="44" fontId="0" fillId="0" borderId="0" xfId="8" applyFont="1"/>
    <xf numFmtId="43" fontId="0" fillId="0" borderId="0" xfId="9" applyFont="1"/>
    <xf numFmtId="44" fontId="13" fillId="0" borderId="0" xfId="8" applyFont="1" applyBorder="1" applyAlignment="1">
      <alignment vertical="center" wrapText="1"/>
    </xf>
    <xf numFmtId="44" fontId="13" fillId="12" borderId="15" xfId="8" applyFont="1" applyFill="1" applyBorder="1" applyAlignment="1">
      <alignment vertical="center"/>
    </xf>
    <xf numFmtId="44" fontId="13" fillId="10" borderId="9" xfId="8" applyFont="1" applyFill="1" applyBorder="1" applyAlignment="1">
      <alignment vertical="center"/>
    </xf>
    <xf numFmtId="44" fontId="13" fillId="7" borderId="20" xfId="8" applyFont="1" applyFill="1" applyBorder="1" applyAlignment="1">
      <alignment vertical="center"/>
    </xf>
    <xf numFmtId="44" fontId="13" fillId="0" borderId="9" xfId="8" applyFont="1" applyBorder="1" applyAlignment="1">
      <alignment vertical="center"/>
    </xf>
    <xf numFmtId="44" fontId="12" fillId="12" borderId="21" xfId="8" applyFont="1" applyFill="1" applyBorder="1" applyAlignment="1">
      <alignment vertical="center"/>
    </xf>
    <xf numFmtId="44" fontId="12" fillId="10" borderId="0" xfId="8" applyFont="1" applyFill="1" applyBorder="1" applyAlignment="1">
      <alignment vertical="center"/>
    </xf>
    <xf numFmtId="44" fontId="12" fillId="7" borderId="19" xfId="8" applyFont="1" applyFill="1" applyBorder="1" applyAlignment="1">
      <alignment vertical="center"/>
    </xf>
    <xf numFmtId="44" fontId="12" fillId="0" borderId="0" xfId="8" applyFont="1" applyAlignment="1">
      <alignment vertical="center"/>
    </xf>
    <xf numFmtId="44" fontId="12" fillId="12" borderId="28" xfId="8" applyFont="1" applyFill="1" applyBorder="1" applyAlignment="1">
      <alignment vertical="center"/>
    </xf>
    <xf numFmtId="44" fontId="12" fillId="10" borderId="24" xfId="8" applyFont="1" applyFill="1" applyBorder="1" applyAlignment="1">
      <alignment vertical="center"/>
    </xf>
    <xf numFmtId="44" fontId="12" fillId="7" borderId="27" xfId="8" applyFont="1" applyFill="1" applyBorder="1" applyAlignment="1">
      <alignment vertical="center"/>
    </xf>
    <xf numFmtId="44" fontId="12" fillId="0" borderId="24" xfId="8" applyFont="1" applyBorder="1" applyAlignment="1">
      <alignment vertical="center"/>
    </xf>
    <xf numFmtId="44" fontId="12" fillId="12" borderId="16" xfId="8" applyFont="1" applyFill="1" applyBorder="1" applyAlignment="1">
      <alignment vertical="center"/>
    </xf>
    <xf numFmtId="44" fontId="12" fillId="10" borderId="17" xfId="8" applyFont="1" applyFill="1" applyBorder="1" applyAlignment="1">
      <alignment vertical="center"/>
    </xf>
    <xf numFmtId="44" fontId="12" fillId="7" borderId="18" xfId="8" applyFont="1" applyFill="1" applyBorder="1" applyAlignment="1">
      <alignment vertical="center"/>
    </xf>
    <xf numFmtId="44" fontId="12" fillId="0" borderId="17" xfId="8" applyFont="1" applyBorder="1" applyAlignment="1">
      <alignment vertical="center"/>
    </xf>
    <xf numFmtId="44" fontId="13" fillId="3" borderId="20" xfId="8" applyFont="1" applyFill="1" applyBorder="1" applyAlignment="1">
      <alignment vertical="center"/>
    </xf>
    <xf numFmtId="44" fontId="13" fillId="0" borderId="15" xfId="8" applyFont="1" applyBorder="1" applyAlignment="1">
      <alignment vertical="center"/>
    </xf>
    <xf numFmtId="44" fontId="12" fillId="3" borderId="0" xfId="8" applyFont="1" applyFill="1" applyBorder="1" applyAlignment="1">
      <alignment vertical="center"/>
    </xf>
    <xf numFmtId="44" fontId="12" fillId="0" borderId="0" xfId="8" applyFont="1" applyBorder="1" applyAlignment="1">
      <alignment vertical="center"/>
    </xf>
    <xf numFmtId="44" fontId="12" fillId="0" borderId="21" xfId="8" applyFont="1" applyBorder="1" applyAlignment="1">
      <alignment vertical="center"/>
    </xf>
    <xf numFmtId="44" fontId="12" fillId="0" borderId="19" xfId="8" applyFont="1" applyBorder="1" applyAlignment="1">
      <alignment vertical="center"/>
    </xf>
    <xf numFmtId="44" fontId="12" fillId="3" borderId="24" xfId="8" applyFont="1" applyFill="1" applyBorder="1" applyAlignment="1">
      <alignment vertical="center"/>
    </xf>
    <xf numFmtId="44" fontId="12" fillId="0" borderId="28" xfId="8" applyFont="1" applyBorder="1" applyAlignment="1">
      <alignment vertical="center"/>
    </xf>
    <xf numFmtId="44" fontId="12" fillId="0" borderId="27" xfId="8" applyFont="1" applyBorder="1" applyAlignment="1">
      <alignment vertical="center"/>
    </xf>
    <xf numFmtId="44" fontId="12" fillId="3" borderId="17" xfId="8" applyFont="1" applyFill="1" applyBorder="1" applyAlignment="1">
      <alignment vertical="center"/>
    </xf>
    <xf numFmtId="44" fontId="12" fillId="0" borderId="16" xfId="8" applyFont="1" applyBorder="1" applyAlignment="1">
      <alignment vertical="center"/>
    </xf>
    <xf numFmtId="44" fontId="12" fillId="0" borderId="18" xfId="8" applyFont="1" applyBorder="1" applyAlignment="1">
      <alignment vertical="center"/>
    </xf>
    <xf numFmtId="44" fontId="12" fillId="0" borderId="0" xfId="8" applyFont="1" applyFill="1" applyBorder="1"/>
    <xf numFmtId="43" fontId="12" fillId="0" borderId="0" xfId="9" applyFont="1" applyFill="1" applyBorder="1"/>
    <xf numFmtId="43" fontId="0" fillId="0" borderId="0" xfId="9" applyFont="1" applyAlignment="1">
      <alignment horizontal="right"/>
    </xf>
    <xf numFmtId="44" fontId="12" fillId="0" borderId="9" xfId="8" applyFont="1" applyFill="1" applyBorder="1"/>
    <xf numFmtId="43" fontId="12" fillId="0" borderId="9" xfId="9" applyFont="1" applyFill="1" applyBorder="1"/>
    <xf numFmtId="43" fontId="0" fillId="0" borderId="0" xfId="9" applyFont="1" applyFill="1" applyBorder="1"/>
    <xf numFmtId="165" fontId="13" fillId="0" borderId="0" xfId="8" applyNumberFormat="1" applyFont="1" applyFill="1" applyBorder="1" applyAlignment="1">
      <alignment horizontal="center" vertical="center"/>
    </xf>
    <xf numFmtId="44" fontId="13" fillId="9" borderId="0" xfId="8" applyFont="1" applyFill="1" applyBorder="1" applyAlignment="1">
      <alignment vertical="center" wrapText="1"/>
    </xf>
    <xf numFmtId="44" fontId="12" fillId="9" borderId="0" xfId="8" applyFont="1" applyFill="1" applyBorder="1" applyAlignment="1">
      <alignment vertical="center" wrapText="1"/>
    </xf>
    <xf numFmtId="43" fontId="13" fillId="9" borderId="0" xfId="9" applyFont="1" applyFill="1" applyBorder="1" applyAlignment="1">
      <alignment vertical="center" wrapText="1"/>
    </xf>
    <xf numFmtId="43" fontId="12" fillId="9" borderId="0" xfId="9" applyFont="1" applyFill="1" applyBorder="1" applyAlignment="1">
      <alignment vertical="center" wrapText="1"/>
    </xf>
    <xf numFmtId="44" fontId="13" fillId="0" borderId="0" xfId="8" applyFont="1" applyFill="1" applyBorder="1" applyAlignment="1">
      <alignment wrapText="1"/>
    </xf>
    <xf numFmtId="44" fontId="12" fillId="0" borderId="0" xfId="8" applyFont="1" applyFill="1" applyBorder="1" applyAlignment="1">
      <alignment wrapText="1"/>
    </xf>
    <xf numFmtId="44" fontId="19" fillId="16" borderId="22" xfId="8" applyFont="1" applyFill="1" applyBorder="1" applyAlignment="1">
      <alignment vertical="center"/>
    </xf>
    <xf numFmtId="43" fontId="12" fillId="0" borderId="0" xfId="9" applyFont="1" applyAlignment="1">
      <alignment vertical="center" wrapText="1"/>
    </xf>
    <xf numFmtId="43" fontId="12" fillId="0" borderId="0" xfId="9" applyFont="1" applyAlignment="1">
      <alignment vertical="center"/>
    </xf>
    <xf numFmtId="43" fontId="0" fillId="0" borderId="0" xfId="9" applyFont="1" applyFill="1" applyAlignment="1">
      <alignment horizontal="center" vertical="center" wrapText="1"/>
    </xf>
    <xf numFmtId="44" fontId="0" fillId="0" borderId="0" xfId="8" applyFont="1" applyFill="1" applyBorder="1" applyAlignment="1">
      <alignment horizontal="center" vertical="center" wrapText="1"/>
    </xf>
    <xf numFmtId="43" fontId="0" fillId="0" borderId="0" xfId="9" applyFont="1" applyFill="1" applyBorder="1" applyAlignment="1">
      <alignment horizontal="center" vertical="center" wrapText="1"/>
    </xf>
    <xf numFmtId="43" fontId="0" fillId="0" borderId="0" xfId="9" applyFont="1" applyAlignment="1">
      <alignment wrapText="1"/>
    </xf>
    <xf numFmtId="43" fontId="12" fillId="0" borderId="0" xfId="9" applyFont="1" applyAlignment="1">
      <alignment wrapText="1"/>
    </xf>
    <xf numFmtId="44" fontId="19" fillId="16" borderId="25" xfId="8" applyFont="1" applyFill="1" applyBorder="1" applyAlignment="1">
      <alignment vertical="center"/>
    </xf>
    <xf numFmtId="43" fontId="19" fillId="16" borderId="25" xfId="9" applyFont="1" applyFill="1" applyBorder="1" applyAlignment="1">
      <alignment vertical="center"/>
    </xf>
    <xf numFmtId="43" fontId="19" fillId="16" borderId="22" xfId="9" applyFont="1" applyFill="1" applyBorder="1" applyAlignment="1">
      <alignment vertical="center"/>
    </xf>
    <xf numFmtId="164" fontId="19" fillId="16" borderId="25" xfId="9" applyNumberFormat="1" applyFont="1" applyFill="1" applyBorder="1" applyAlignment="1">
      <alignment vertical="center"/>
    </xf>
    <xf numFmtId="164" fontId="19" fillId="16" borderId="22" xfId="9" applyNumberFormat="1" applyFont="1" applyFill="1" applyBorder="1" applyAlignment="1">
      <alignment vertical="center"/>
    </xf>
    <xf numFmtId="174" fontId="18" fillId="14" borderId="0" xfId="4" applyNumberFormat="1" applyBorder="1" applyAlignment="1">
      <alignment vertical="center" wrapText="1"/>
    </xf>
    <xf numFmtId="3" fontId="18" fillId="14" borderId="0" xfId="4" applyNumberFormat="1" applyBorder="1" applyAlignment="1">
      <alignment vertical="center" wrapText="1"/>
    </xf>
    <xf numFmtId="43" fontId="13" fillId="0" borderId="0" xfId="9" applyFont="1" applyBorder="1" applyAlignment="1">
      <alignment wrapText="1"/>
    </xf>
    <xf numFmtId="44" fontId="10" fillId="0" borderId="0" xfId="8" applyFont="1" applyFill="1" applyBorder="1" applyAlignment="1">
      <alignment horizontal="center" vertical="center" wrapText="1"/>
    </xf>
    <xf numFmtId="172" fontId="12" fillId="0" borderId="0" xfId="9" applyNumberFormat="1" applyFont="1" applyAlignment="1">
      <alignment vertical="center" wrapText="1"/>
    </xf>
    <xf numFmtId="164" fontId="12" fillId="0" borderId="0" xfId="9" applyNumberFormat="1" applyFont="1" applyAlignment="1">
      <alignment vertical="center" wrapText="1"/>
    </xf>
    <xf numFmtId="44" fontId="13" fillId="6" borderId="14" xfId="8" applyFont="1" applyFill="1" applyBorder="1"/>
    <xf numFmtId="8" fontId="14" fillId="0" borderId="0" xfId="10" applyNumberFormat="1" applyFont="1" applyFill="1" applyBorder="1"/>
    <xf numFmtId="44" fontId="13" fillId="0" borderId="0" xfId="8" applyFont="1"/>
    <xf numFmtId="44" fontId="12" fillId="0" borderId="0" xfId="8" applyFont="1"/>
    <xf numFmtId="43" fontId="12" fillId="0" borderId="0" xfId="9" applyFont="1"/>
    <xf numFmtId="44" fontId="12" fillId="0" borderId="0" xfId="8" applyFont="1" applyAlignment="1">
      <alignment horizontal="left" vertical="center" wrapText="1"/>
    </xf>
    <xf numFmtId="0" fontId="12" fillId="0" borderId="0" xfId="8" applyNumberFormat="1" applyFont="1" applyAlignment="1">
      <alignment horizontal="center" vertical="center" wrapText="1"/>
    </xf>
    <xf numFmtId="6" fontId="12" fillId="0" borderId="0" xfId="1" applyNumberFormat="1" applyFont="1" applyAlignment="1">
      <alignment horizontal="center" vertical="center" wrapText="1"/>
    </xf>
    <xf numFmtId="6" fontId="12" fillId="0" borderId="0" xfId="1" applyNumberFormat="1" applyFont="1" applyAlignment="1">
      <alignment horizontal="left" vertical="center" wrapText="1"/>
    </xf>
    <xf numFmtId="44" fontId="12" fillId="0" borderId="0" xfId="1" applyFont="1" applyFill="1" applyAlignment="1">
      <alignment vertical="center" wrapText="1"/>
    </xf>
    <xf numFmtId="44" fontId="39" fillId="0" borderId="0" xfId="1" applyFont="1"/>
    <xf numFmtId="171" fontId="39" fillId="0" borderId="0" xfId="1" applyNumberFormat="1" applyFont="1"/>
    <xf numFmtId="44" fontId="12" fillId="19" borderId="0" xfId="1" applyFont="1" applyFill="1"/>
    <xf numFmtId="2" fontId="14" fillId="0" borderId="0" xfId="0" applyNumberFormat="1" applyFont="1"/>
    <xf numFmtId="164" fontId="18" fillId="14" borderId="22" xfId="4" applyNumberFormat="1">
      <alignment horizontal="left" vertical="center"/>
    </xf>
    <xf numFmtId="0" fontId="41" fillId="0" borderId="0" xfId="0" applyFont="1"/>
    <xf numFmtId="44" fontId="12" fillId="0" borderId="20" xfId="8" applyFont="1" applyBorder="1" applyAlignment="1">
      <alignment vertical="center"/>
    </xf>
    <xf numFmtId="44" fontId="12" fillId="0" borderId="0" xfId="8" applyFont="1" applyFill="1" applyBorder="1" applyAlignment="1">
      <alignment vertical="center"/>
    </xf>
    <xf numFmtId="44" fontId="13" fillId="0" borderId="0" xfId="8" applyFont="1" applyFill="1" applyBorder="1" applyAlignment="1">
      <alignment vertical="center"/>
    </xf>
    <xf numFmtId="44" fontId="12" fillId="0" borderId="0" xfId="1" applyFont="1" applyFill="1" applyBorder="1" applyAlignment="1">
      <alignment vertical="center"/>
    </xf>
    <xf numFmtId="44" fontId="13" fillId="0" borderId="0" xfId="1" applyFont="1" applyFill="1" applyBorder="1" applyAlignment="1">
      <alignment vertical="center"/>
    </xf>
    <xf numFmtId="44" fontId="12" fillId="0" borderId="35" xfId="1" applyFont="1" applyBorder="1" applyAlignment="1">
      <alignment vertical="center"/>
    </xf>
    <xf numFmtId="0" fontId="10" fillId="21" borderId="0" xfId="0" applyFont="1" applyFill="1" applyAlignment="1">
      <alignment horizontal="left"/>
    </xf>
    <xf numFmtId="0" fontId="42" fillId="4" borderId="1" xfId="0" applyFont="1" applyFill="1" applyBorder="1" applyAlignment="1">
      <alignment horizontal="left" vertical="center" wrapText="1"/>
    </xf>
    <xf numFmtId="0" fontId="42" fillId="4" borderId="11" xfId="0" applyFont="1" applyFill="1" applyBorder="1" applyAlignment="1">
      <alignment horizontal="left" vertical="center" wrapText="1"/>
    </xf>
    <xf numFmtId="0" fontId="42" fillId="4" borderId="2" xfId="0" applyFont="1" applyFill="1" applyBorder="1" applyAlignment="1">
      <alignment horizontal="left" vertical="center" wrapText="1"/>
    </xf>
    <xf numFmtId="0" fontId="13" fillId="0" borderId="0" xfId="0" applyFont="1" applyAlignment="1">
      <alignment horizontal="left" vertical="center" wrapText="1"/>
    </xf>
    <xf numFmtId="0" fontId="14" fillId="4" borderId="1" xfId="0" applyFont="1" applyFill="1" applyBorder="1" applyAlignment="1">
      <alignment horizontal="left" vertical="center" wrapText="1"/>
    </xf>
    <xf numFmtId="0" fontId="13" fillId="0" borderId="9" xfId="0" applyFont="1" applyBorder="1" applyAlignment="1">
      <alignment horizontal="center" vertical="center" wrapText="1"/>
    </xf>
    <xf numFmtId="0" fontId="13" fillId="0" borderId="0" xfId="0" applyFont="1" applyAlignment="1">
      <alignment horizontal="center" vertical="center"/>
    </xf>
    <xf numFmtId="0" fontId="14" fillId="4" borderId="11" xfId="0" applyFont="1" applyFill="1" applyBorder="1" applyAlignment="1">
      <alignment horizontal="left" vertical="center" wrapText="1"/>
    </xf>
    <xf numFmtId="0" fontId="14" fillId="4" borderId="2" xfId="0" applyFont="1" applyFill="1" applyBorder="1" applyAlignment="1">
      <alignment horizontal="left" vertical="center" wrapText="1"/>
    </xf>
    <xf numFmtId="0" fontId="10" fillId="15" borderId="0" xfId="0" applyFont="1" applyFill="1" applyAlignment="1">
      <alignment vertical="center"/>
    </xf>
    <xf numFmtId="0" fontId="11" fillId="15" borderId="0" xfId="0" applyFont="1" applyFill="1" applyAlignment="1">
      <alignment vertical="center"/>
    </xf>
    <xf numFmtId="0" fontId="12" fillId="4" borderId="1" xfId="0" applyFont="1" applyFill="1" applyBorder="1" applyAlignment="1">
      <alignment vertical="center" wrapText="1"/>
    </xf>
    <xf numFmtId="0" fontId="12" fillId="4" borderId="11" xfId="0" applyFont="1" applyFill="1" applyBorder="1" applyAlignment="1">
      <alignment vertical="center" wrapText="1"/>
    </xf>
    <xf numFmtId="0" fontId="12" fillId="4" borderId="2" xfId="0" applyFont="1" applyFill="1" applyBorder="1" applyAlignment="1">
      <alignment vertical="center" wrapText="1"/>
    </xf>
    <xf numFmtId="0" fontId="42" fillId="0" borderId="3" xfId="0" applyFont="1" applyBorder="1" applyAlignment="1">
      <alignment horizontal="center" vertical="center" wrapText="1"/>
    </xf>
    <xf numFmtId="0" fontId="42" fillId="0" borderId="0" xfId="0" applyFont="1" applyAlignment="1">
      <alignment horizontal="center" vertical="center" wrapText="1"/>
    </xf>
    <xf numFmtId="0" fontId="10" fillId="11" borderId="0" xfId="0" applyFont="1" applyFill="1" applyAlignment="1">
      <alignment horizontal="left" vertical="center" wrapText="1"/>
    </xf>
    <xf numFmtId="0" fontId="38" fillId="14" borderId="29" xfId="4" applyFont="1" applyBorder="1" applyAlignment="1">
      <alignment horizontal="left" vertical="center" wrapText="1"/>
    </xf>
    <xf numFmtId="0" fontId="38" fillId="14" borderId="30" xfId="4" applyFont="1" applyBorder="1" applyAlignment="1">
      <alignment horizontal="left" vertical="center" wrapText="1"/>
    </xf>
    <xf numFmtId="0" fontId="38" fillId="14" borderId="31" xfId="4" applyFont="1" applyBorder="1" applyAlignment="1">
      <alignment horizontal="left" vertical="center" wrapText="1"/>
    </xf>
    <xf numFmtId="0" fontId="18" fillId="14" borderId="22" xfId="4" applyAlignment="1">
      <alignment horizontal="left" vertical="center"/>
    </xf>
    <xf numFmtId="0" fontId="38" fillId="14" borderId="32" xfId="4" applyFont="1" applyBorder="1" applyAlignment="1">
      <alignment horizontal="left" vertical="center" wrapText="1"/>
    </xf>
    <xf numFmtId="0" fontId="38" fillId="14" borderId="33" xfId="4" applyFont="1" applyBorder="1" applyAlignment="1">
      <alignment horizontal="left" vertical="center" wrapText="1"/>
    </xf>
    <xf numFmtId="0" fontId="38" fillId="14" borderId="34" xfId="4" applyFont="1" applyBorder="1" applyAlignment="1">
      <alignment horizontal="left" vertical="center" wrapText="1"/>
    </xf>
    <xf numFmtId="0" fontId="42" fillId="4" borderId="12" xfId="0" applyFont="1" applyFill="1" applyBorder="1" applyAlignment="1">
      <alignment horizontal="left" vertical="center" wrapText="1"/>
    </xf>
    <xf numFmtId="0" fontId="37" fillId="4" borderId="13" xfId="0" applyFont="1" applyFill="1" applyBorder="1" applyAlignment="1">
      <alignment horizontal="left" vertical="center" wrapText="1"/>
    </xf>
    <xf numFmtId="0" fontId="37" fillId="4" borderId="14" xfId="0" applyFont="1" applyFill="1" applyBorder="1" applyAlignment="1">
      <alignment horizontal="left" vertical="center" wrapText="1"/>
    </xf>
    <xf numFmtId="0" fontId="37" fillId="4" borderId="3" xfId="0" applyFont="1" applyFill="1" applyBorder="1" applyAlignment="1">
      <alignment horizontal="left" vertical="center" wrapText="1"/>
    </xf>
    <xf numFmtId="0" fontId="37" fillId="4" borderId="0" xfId="0" applyFont="1" applyFill="1" applyAlignment="1">
      <alignment horizontal="left" vertical="center" wrapText="1"/>
    </xf>
    <xf numFmtId="0" fontId="37" fillId="4" borderId="4" xfId="0" applyFont="1" applyFill="1" applyBorder="1" applyAlignment="1">
      <alignment horizontal="left" vertical="center" wrapText="1"/>
    </xf>
    <xf numFmtId="0" fontId="37" fillId="4" borderId="5" xfId="0" applyFont="1" applyFill="1" applyBorder="1" applyAlignment="1">
      <alignment horizontal="left" vertical="center" wrapText="1"/>
    </xf>
    <xf numFmtId="0" fontId="37" fillId="4" borderId="6" xfId="0" applyFont="1" applyFill="1" applyBorder="1" applyAlignment="1">
      <alignment horizontal="left" vertical="center" wrapText="1"/>
    </xf>
    <xf numFmtId="0" fontId="37" fillId="4" borderId="7" xfId="0" applyFont="1" applyFill="1" applyBorder="1" applyAlignment="1">
      <alignment horizontal="left" vertical="center" wrapText="1"/>
    </xf>
    <xf numFmtId="0" fontId="14" fillId="0" borderId="1" xfId="0" applyFont="1" applyBorder="1" applyAlignment="1">
      <alignment horizontal="left" vertical="center" wrapText="1"/>
    </xf>
    <xf numFmtId="0" fontId="14" fillId="0" borderId="11" xfId="0" applyFont="1" applyBorder="1" applyAlignment="1">
      <alignment horizontal="left" vertical="center" wrapText="1"/>
    </xf>
    <xf numFmtId="0" fontId="14" fillId="0" borderId="2" xfId="0" applyFont="1" applyBorder="1" applyAlignment="1">
      <alignment horizontal="left" vertical="center" wrapText="1"/>
    </xf>
    <xf numFmtId="0" fontId="10" fillId="2" borderId="0" xfId="0" applyFont="1" applyFill="1" applyAlignment="1">
      <alignment vertical="center"/>
    </xf>
    <xf numFmtId="0" fontId="11" fillId="2" borderId="0" xfId="0" applyFont="1" applyFill="1" applyAlignment="1">
      <alignment vertical="center"/>
    </xf>
    <xf numFmtId="0" fontId="42" fillId="0" borderId="11" xfId="0" applyFont="1" applyBorder="1" applyAlignment="1">
      <alignment horizontal="left" vertical="center" wrapText="1"/>
    </xf>
    <xf numFmtId="0" fontId="42" fillId="0" borderId="2" xfId="0" applyFont="1" applyBorder="1" applyAlignment="1">
      <alignment horizontal="left" vertical="center" wrapText="1"/>
    </xf>
    <xf numFmtId="0" fontId="15" fillId="4" borderId="12" xfId="0" applyFont="1" applyFill="1" applyBorder="1" applyAlignment="1">
      <alignment horizontal="left" vertical="center" wrapText="1"/>
    </xf>
    <xf numFmtId="0" fontId="10" fillId="11" borderId="0" xfId="0" applyFont="1" applyFill="1" applyAlignment="1">
      <alignment horizontal="left"/>
    </xf>
    <xf numFmtId="0" fontId="37" fillId="4" borderId="12" xfId="0" applyFont="1" applyFill="1" applyBorder="1" applyAlignment="1">
      <alignment horizontal="left" vertical="center" wrapText="1"/>
    </xf>
    <xf numFmtId="0" fontId="10" fillId="2" borderId="0" xfId="0" applyFont="1" applyFill="1" applyAlignment="1">
      <alignment vertical="center" wrapText="1"/>
    </xf>
    <xf numFmtId="0" fontId="11" fillId="2" borderId="0" xfId="0" applyFont="1" applyFill="1" applyAlignment="1">
      <alignment vertical="center" wrapText="1"/>
    </xf>
    <xf numFmtId="0" fontId="10" fillId="2" borderId="0" xfId="0" applyFont="1" applyFill="1" applyAlignment="1">
      <alignment horizontal="left" wrapText="1"/>
    </xf>
    <xf numFmtId="0" fontId="42" fillId="0" borderId="1" xfId="0" applyFont="1" applyBorder="1" applyAlignment="1">
      <alignment horizontal="left" vertical="center" wrapText="1"/>
    </xf>
    <xf numFmtId="0" fontId="3" fillId="0" borderId="0" xfId="0" applyFont="1" applyAlignment="1">
      <alignment horizontal="left" wrapText="1"/>
    </xf>
    <xf numFmtId="0" fontId="6" fillId="11" borderId="0" xfId="0" applyFont="1" applyFill="1" applyAlignment="1"/>
    <xf numFmtId="0" fontId="7" fillId="11" borderId="0" xfId="0" applyFont="1" applyFill="1" applyAlignment="1"/>
    <xf numFmtId="0" fontId="3" fillId="4" borderId="12" xfId="0" applyFont="1" applyFill="1" applyBorder="1" applyAlignment="1">
      <alignment horizontal="left" vertical="center" wrapText="1"/>
    </xf>
    <xf numFmtId="0" fontId="3" fillId="4" borderId="13"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4" borderId="5"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7" xfId="0" applyFont="1" applyFill="1" applyBorder="1" applyAlignment="1">
      <alignment horizontal="left" vertical="center" wrapText="1"/>
    </xf>
    <xf numFmtId="0" fontId="4" fillId="0" borderId="1" xfId="0" applyFont="1" applyBorder="1" applyAlignment="1">
      <alignment horizontal="center"/>
    </xf>
    <xf numFmtId="0" fontId="4" fillId="0" borderId="11"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wrapText="1"/>
    </xf>
    <xf numFmtId="0" fontId="4" fillId="0" borderId="11" xfId="0" applyFont="1" applyBorder="1" applyAlignment="1">
      <alignment horizontal="center" wrapText="1"/>
    </xf>
    <xf numFmtId="0" fontId="4" fillId="0" borderId="2" xfId="0" applyFont="1" applyBorder="1" applyAlignment="1">
      <alignment horizontal="center" wrapText="1"/>
    </xf>
    <xf numFmtId="0" fontId="4" fillId="0" borderId="17" xfId="0" applyFont="1" applyBorder="1" applyAlignment="1">
      <alignment horizontal="left"/>
    </xf>
    <xf numFmtId="0" fontId="10" fillId="11" borderId="0" xfId="0" applyFont="1" applyFill="1" applyAlignment="1"/>
    <xf numFmtId="0" fontId="11" fillId="11" borderId="0" xfId="0" applyFont="1" applyFill="1" applyAlignment="1"/>
    <xf numFmtId="0" fontId="13" fillId="0" borderId="0" xfId="0" applyFont="1" applyAlignment="1">
      <alignment horizontal="left"/>
    </xf>
    <xf numFmtId="0" fontId="18" fillId="17" borderId="0" xfId="6" applyFont="1" applyBorder="1" applyAlignment="1">
      <alignment horizontal="left" vertical="center" wrapText="1"/>
    </xf>
    <xf numFmtId="0" fontId="10" fillId="11" borderId="0" xfId="0" applyFont="1" applyFill="1" applyAlignment="1">
      <alignment vertical="center"/>
    </xf>
    <xf numFmtId="0" fontId="11" fillId="11" borderId="0" xfId="0" applyFont="1" applyFill="1" applyAlignment="1">
      <alignment vertical="center"/>
    </xf>
    <xf numFmtId="0" fontId="0" fillId="0" borderId="4" xfId="0" applyBorder="1" applyAlignment="1">
      <alignment horizontal="center" textRotation="90" wrapText="1"/>
    </xf>
    <xf numFmtId="0" fontId="29" fillId="0" borderId="12" xfId="0" applyFont="1" applyBorder="1" applyAlignment="1">
      <alignment horizontal="left" vertical="center"/>
    </xf>
    <xf numFmtId="0" fontId="29" fillId="0" borderId="3" xfId="0" applyFont="1" applyBorder="1" applyAlignment="1">
      <alignment horizontal="left" vertical="center"/>
    </xf>
    <xf numFmtId="0" fontId="29" fillId="0" borderId="5" xfId="0" applyFont="1" applyBorder="1" applyAlignment="1">
      <alignment horizontal="left" vertical="center"/>
    </xf>
    <xf numFmtId="0" fontId="29" fillId="0" borderId="12" xfId="0" applyFont="1" applyBorder="1" applyAlignment="1">
      <alignment horizontal="left" vertical="center" wrapText="1"/>
    </xf>
    <xf numFmtId="0" fontId="29" fillId="0" borderId="3" xfId="0" applyFont="1" applyBorder="1" applyAlignment="1">
      <alignment horizontal="left" vertical="center" wrapText="1"/>
    </xf>
    <xf numFmtId="0" fontId="0" fillId="0" borderId="0" xfId="0" applyAlignment="1">
      <alignment horizontal="left" vertical="top" wrapText="1"/>
    </xf>
    <xf numFmtId="0" fontId="29" fillId="0" borderId="0" xfId="0" applyFont="1" applyAlignment="1">
      <alignment horizontal="left" wrapText="1"/>
    </xf>
    <xf numFmtId="0" fontId="33" fillId="0" borderId="3" xfId="0" applyFont="1" applyBorder="1" applyAlignment="1">
      <alignment horizontal="left" vertical="top" wrapText="1"/>
    </xf>
    <xf numFmtId="0" fontId="12" fillId="4" borderId="12" xfId="0" applyFont="1" applyFill="1" applyBorder="1" applyAlignment="1">
      <alignment horizontal="left" vertical="center" wrapText="1"/>
    </xf>
    <xf numFmtId="0" fontId="12" fillId="4" borderId="13" xfId="0" applyFont="1" applyFill="1" applyBorder="1" applyAlignment="1">
      <alignment horizontal="left" vertical="center" wrapText="1"/>
    </xf>
    <xf numFmtId="0" fontId="12" fillId="4" borderId="14" xfId="0" applyFont="1" applyFill="1" applyBorder="1" applyAlignment="1">
      <alignment horizontal="left" vertical="center" wrapText="1"/>
    </xf>
    <xf numFmtId="0" fontId="12" fillId="4" borderId="3" xfId="0" applyFont="1" applyFill="1" applyBorder="1" applyAlignment="1">
      <alignment horizontal="left" vertical="center" wrapText="1"/>
    </xf>
    <xf numFmtId="0" fontId="12" fillId="4" borderId="0" xfId="0" applyFont="1" applyFill="1" applyAlignment="1">
      <alignment horizontal="left" vertical="center" wrapText="1"/>
    </xf>
    <xf numFmtId="0" fontId="12" fillId="4" borderId="4"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12" fillId="4" borderId="6" xfId="0" applyFont="1" applyFill="1" applyBorder="1" applyAlignment="1">
      <alignment horizontal="left" vertical="center" wrapText="1"/>
    </xf>
    <xf numFmtId="0" fontId="12" fillId="4" borderId="7" xfId="0" applyFont="1" applyFill="1" applyBorder="1" applyAlignment="1">
      <alignment horizontal="left" vertical="center" wrapText="1"/>
    </xf>
    <xf numFmtId="1" fontId="29" fillId="0" borderId="0" xfId="0" applyNumberFormat="1" applyFont="1" applyAlignment="1">
      <alignment horizontal="center" vertical="center"/>
    </xf>
    <xf numFmtId="1" fontId="29" fillId="0" borderId="4" xfId="0" applyNumberFormat="1" applyFont="1" applyBorder="1" applyAlignment="1">
      <alignment horizontal="center" vertical="center"/>
    </xf>
    <xf numFmtId="0" fontId="6" fillId="13" borderId="0" xfId="0" applyFont="1" applyFill="1" applyAlignment="1">
      <alignment vertical="center"/>
    </xf>
    <xf numFmtId="0" fontId="7" fillId="13" borderId="0" xfId="0" applyFont="1" applyFill="1" applyAlignment="1">
      <alignment vertical="center"/>
    </xf>
    <xf numFmtId="0" fontId="8" fillId="4" borderId="12" xfId="0" applyFont="1" applyFill="1" applyBorder="1" applyAlignment="1">
      <alignment horizontal="left" vertical="center" wrapText="1"/>
    </xf>
    <xf numFmtId="0" fontId="8" fillId="4" borderId="13" xfId="0" applyFont="1" applyFill="1" applyBorder="1" applyAlignment="1">
      <alignment horizontal="left" vertical="center" wrapText="1"/>
    </xf>
    <xf numFmtId="0" fontId="8" fillId="4" borderId="14" xfId="0" applyFont="1" applyFill="1" applyBorder="1" applyAlignment="1">
      <alignment horizontal="left" vertical="center" wrapText="1"/>
    </xf>
    <xf numFmtId="0" fontId="8" fillId="4" borderId="5" xfId="0" applyFont="1" applyFill="1" applyBorder="1" applyAlignment="1">
      <alignment horizontal="left" vertical="center" wrapText="1"/>
    </xf>
    <xf numFmtId="0" fontId="8" fillId="4" borderId="6" xfId="0" applyFont="1" applyFill="1" applyBorder="1" applyAlignment="1">
      <alignment horizontal="left" vertical="center" wrapText="1"/>
    </xf>
    <xf numFmtId="0" fontId="8" fillId="4" borderId="7" xfId="0" applyFont="1" applyFill="1" applyBorder="1" applyAlignment="1">
      <alignment horizontal="left" vertical="center" wrapText="1"/>
    </xf>
    <xf numFmtId="0" fontId="4" fillId="0" borderId="8" xfId="0" applyFont="1" applyBorder="1" applyAlignment="1">
      <alignment horizontal="left" vertical="center"/>
    </xf>
    <xf numFmtId="0" fontId="4" fillId="0" borderId="17" xfId="0" applyFont="1" applyBorder="1" applyAlignment="1">
      <alignment horizontal="left" vertical="center"/>
    </xf>
    <xf numFmtId="0" fontId="10" fillId="20" borderId="0" xfId="0" applyFont="1" applyFill="1" applyAlignment="1"/>
    <xf numFmtId="0" fontId="11" fillId="20" borderId="0" xfId="0" applyFont="1" applyFill="1" applyAlignment="1"/>
    <xf numFmtId="0" fontId="13" fillId="6" borderId="5" xfId="0" applyFont="1" applyFill="1" applyBorder="1" applyAlignment="1">
      <alignment horizontal="center"/>
    </xf>
    <xf numFmtId="0" fontId="13" fillId="6" borderId="6" xfId="0" applyFont="1" applyFill="1" applyBorder="1" applyAlignment="1">
      <alignment horizontal="center"/>
    </xf>
    <xf numFmtId="0" fontId="13" fillId="6" borderId="7" xfId="0" applyFont="1" applyFill="1" applyBorder="1" applyAlignment="1">
      <alignment horizontal="center"/>
    </xf>
    <xf numFmtId="0" fontId="13" fillId="0" borderId="8" xfId="0" applyFont="1" applyBorder="1" applyAlignment="1">
      <alignment horizontal="left"/>
    </xf>
    <xf numFmtId="0" fontId="10" fillId="22" borderId="0" xfId="0" applyFont="1" applyFill="1" applyAlignment="1">
      <alignment horizontal="left"/>
    </xf>
    <xf numFmtId="0" fontId="15" fillId="4" borderId="13" xfId="0" applyFont="1" applyFill="1" applyBorder="1" applyAlignment="1">
      <alignment horizontal="left" vertical="center" wrapText="1"/>
    </xf>
    <xf numFmtId="0" fontId="15" fillId="4" borderId="14" xfId="0" applyFont="1" applyFill="1" applyBorder="1" applyAlignment="1">
      <alignment horizontal="left" vertical="center" wrapText="1"/>
    </xf>
    <xf numFmtId="0" fontId="15" fillId="4" borderId="3" xfId="0" applyFont="1" applyFill="1" applyBorder="1" applyAlignment="1">
      <alignment horizontal="left" vertical="center" wrapText="1"/>
    </xf>
    <xf numFmtId="0" fontId="15" fillId="4" borderId="0" xfId="0" applyFont="1" applyFill="1" applyAlignment="1">
      <alignment horizontal="left" vertical="center" wrapText="1"/>
    </xf>
    <xf numFmtId="0" fontId="15" fillId="4" borderId="4" xfId="0" applyFont="1" applyFill="1" applyBorder="1" applyAlignment="1">
      <alignment horizontal="left" vertical="center" wrapText="1"/>
    </xf>
    <xf numFmtId="0" fontId="15" fillId="4" borderId="5" xfId="0" applyFont="1" applyFill="1" applyBorder="1" applyAlignment="1">
      <alignment horizontal="left" vertical="center" wrapText="1"/>
    </xf>
    <xf numFmtId="0" fontId="15" fillId="4" borderId="6" xfId="0" applyFont="1" applyFill="1" applyBorder="1" applyAlignment="1">
      <alignment horizontal="left" vertical="center" wrapText="1"/>
    </xf>
    <xf numFmtId="0" fontId="15" fillId="4" borderId="7" xfId="0" applyFont="1" applyFill="1" applyBorder="1" applyAlignment="1">
      <alignment horizontal="left" vertical="center" wrapText="1"/>
    </xf>
    <xf numFmtId="0" fontId="15" fillId="4" borderId="1" xfId="0" applyFont="1" applyFill="1" applyBorder="1" applyAlignment="1">
      <alignment horizontal="left" vertical="center" wrapText="1"/>
    </xf>
    <xf numFmtId="0" fontId="15" fillId="4" borderId="11" xfId="0" applyFont="1" applyFill="1" applyBorder="1" applyAlignment="1">
      <alignment horizontal="left" vertical="center" wrapText="1"/>
    </xf>
    <xf numFmtId="0" fontId="15" fillId="4" borderId="2" xfId="0" applyFont="1" applyFill="1" applyBorder="1" applyAlignment="1">
      <alignment horizontal="left" vertical="center" wrapText="1"/>
    </xf>
  </cellXfs>
  <cellStyles count="11">
    <cellStyle name="Calculation" xfId="5" builtinId="22" customBuiltin="1"/>
    <cellStyle name="Comma" xfId="2" builtinId="3"/>
    <cellStyle name="Comma 2" xfId="9" xr:uid="{CABDE5F2-E302-4E32-B55E-6A845EE5957F}"/>
    <cellStyle name="Currency" xfId="1" builtinId="4"/>
    <cellStyle name="Currency 2" xfId="8" xr:uid="{A96F553A-FEFB-4741-AB05-1D36E17B8084}"/>
    <cellStyle name="Input" xfId="4" builtinId="20" customBuiltin="1"/>
    <cellStyle name="Linked Cell" xfId="7" builtinId="24" customBuiltin="1"/>
    <cellStyle name="Normal" xfId="0" builtinId="0" customBuiltin="1"/>
    <cellStyle name="Note" xfId="6" builtinId="10"/>
    <cellStyle name="Percent" xfId="3" builtinId="5"/>
    <cellStyle name="Percent 2" xfId="10" xr:uid="{2B1D6370-0E57-44FD-B952-3D7D4861451D}"/>
  </cellStyles>
  <dxfs count="1327">
    <dxf>
      <font>
        <b val="0"/>
        <i val="0"/>
        <strike val="0"/>
        <condense val="0"/>
        <extend val="0"/>
        <outline val="0"/>
        <shadow val="0"/>
        <u val="none"/>
        <vertAlign val="baseline"/>
        <sz val="10"/>
        <color theme="1"/>
        <name val="ArialMT"/>
        <scheme val="none"/>
      </font>
      <numFmt numFmtId="0" formatCode="General"/>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numFmt numFmtId="0" formatCode="General"/>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strike val="0"/>
        <outline val="0"/>
        <shadow val="0"/>
        <u val="none"/>
        <vertAlign val="baseline"/>
        <sz val="10"/>
        <color auto="1"/>
        <name val="ArialMT"/>
        <scheme val="none"/>
      </font>
      <numFmt numFmtId="2" formatCode="0.00"/>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numFmt numFmtId="171" formatCode="_(&quot;$&quot;* #,##0.0000_);_(&quot;$&quot;* \(#,##0.0000\);_(&quot;$&quot;* &quot;-&quot;??_);_(@_)"/>
    </dxf>
    <dxf>
      <font>
        <b val="0"/>
        <i val="0"/>
        <strike val="0"/>
        <condense val="0"/>
        <extend val="0"/>
        <outline val="0"/>
        <shadow val="0"/>
        <u val="none"/>
        <vertAlign val="baseline"/>
        <sz val="10"/>
        <color theme="1"/>
        <name val="ArialMT"/>
        <scheme val="none"/>
      </font>
      <numFmt numFmtId="171" formatCode="_(&quot;$&quot;* #,##0.0000_);_(&quot;$&quot;* \(#,##0.0000\);_(&quot;$&quot;* &quot;-&quot;??_);_(@_)"/>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numFmt numFmtId="34" formatCode="_(&quot;$&quot;* #,##0.00_);_(&quot;$&quot;* \(#,##0.00\);_(&quot;$&quot;* &quot;-&quot;??_);_(@_)"/>
    </dxf>
    <dxf>
      <font>
        <b val="0"/>
        <i val="0"/>
        <strike val="0"/>
        <condense val="0"/>
        <extend val="0"/>
        <outline val="0"/>
        <shadow val="0"/>
        <u val="none"/>
        <vertAlign val="baseline"/>
        <sz val="11"/>
        <color theme="1"/>
        <name val="Segoe UI"/>
        <family val="2"/>
        <scheme val="none"/>
      </font>
    </dxf>
    <dxf>
      <font>
        <b val="0"/>
        <i val="0"/>
        <strike val="0"/>
        <condense val="0"/>
        <extend val="0"/>
        <outline val="0"/>
        <shadow val="0"/>
        <u val="none"/>
        <vertAlign val="baseline"/>
        <sz val="11"/>
        <color theme="1"/>
        <name val="Segoe UI"/>
        <family val="2"/>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rgb="FFFF0000"/>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fill>
        <patternFill patternType="solid">
          <fgColor indexed="64"/>
          <bgColor rgb="FFFFFF00"/>
        </patternFill>
      </fill>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1"/>
        <color theme="1"/>
        <name val="Segoe UI"/>
        <family val="2"/>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numFmt numFmtId="34" formatCode="_(&quot;$&quot;* #,##0.00_);_(&quot;$&quot;* \(#,##0.00\);_(&quot;$&quot;* &quot;-&quot;??_);_(@_)"/>
    </dxf>
    <dxf>
      <font>
        <b val="0"/>
        <i val="0"/>
        <strike val="0"/>
        <condense val="0"/>
        <extend val="0"/>
        <outline val="0"/>
        <shadow val="0"/>
        <u val="none"/>
        <vertAlign val="baseline"/>
        <sz val="10"/>
        <color theme="1"/>
        <name val="ArialMT"/>
        <scheme val="none"/>
      </font>
      <numFmt numFmtId="34" formatCode="_(&quot;$&quot;* #,##0.00_);_(&quot;$&quot;* \(#,##0.00\);_(&quot;$&quot;* &quot;-&quot;??_);_(@_)"/>
    </dxf>
    <dxf>
      <font>
        <b val="0"/>
        <i val="0"/>
        <strike val="0"/>
        <condense val="0"/>
        <extend val="0"/>
        <outline val="0"/>
        <shadow val="0"/>
        <u val="none"/>
        <vertAlign val="baseline"/>
        <sz val="11"/>
        <color theme="1"/>
        <name val="Segoe UI"/>
        <family val="2"/>
        <scheme val="none"/>
      </font>
      <numFmt numFmtId="171" formatCode="_(&quot;$&quot;* #,##0.0000_);_(&quot;$&quot;* \(#,##0.0000\);_(&quot;$&quot;* &quot;-&quot;??_);_(@_)"/>
    </dxf>
    <dxf>
      <font>
        <b val="0"/>
        <i val="0"/>
        <strike val="0"/>
        <condense val="0"/>
        <extend val="0"/>
        <outline val="0"/>
        <shadow val="0"/>
        <u val="none"/>
        <vertAlign val="baseline"/>
        <sz val="11"/>
        <color theme="1"/>
        <name val="Segoe UI"/>
        <family val="2"/>
        <scheme val="none"/>
      </font>
      <numFmt numFmtId="171" formatCode="_(&quot;$&quot;* #,##0.0000_);_(&quot;$&quot;* \(#,##0.0000\);_(&quot;$&quot;* &quot;-&quot;??_);_(@_)"/>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1"/>
        <color theme="1"/>
        <name val="Segoe UI"/>
        <family val="2"/>
        <scheme val="none"/>
      </font>
      <numFmt numFmtId="34" formatCode="_(&quot;$&quot;* #,##0.00_);_(&quot;$&quot;* \(#,##0.00\);_(&quot;$&quot;* &quot;-&quot;??_);_(@_)"/>
    </dxf>
    <dxf>
      <font>
        <b val="0"/>
        <i val="0"/>
        <strike val="0"/>
        <condense val="0"/>
        <extend val="0"/>
        <outline val="0"/>
        <shadow val="0"/>
        <u val="none"/>
        <vertAlign val="baseline"/>
        <sz val="11"/>
        <color theme="1"/>
        <name val="Segoe UI"/>
        <family val="2"/>
        <scheme val="none"/>
      </font>
    </dxf>
    <dxf>
      <font>
        <b val="0"/>
        <i val="0"/>
        <strike val="0"/>
        <condense val="0"/>
        <extend val="0"/>
        <outline val="0"/>
        <shadow val="0"/>
        <u val="none"/>
        <vertAlign val="baseline"/>
        <sz val="11"/>
        <color theme="1"/>
        <name val="Segoe UI"/>
        <family val="2"/>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1"/>
        <color theme="1"/>
        <name val="Segoe UI"/>
        <family val="2"/>
        <scheme val="none"/>
      </font>
    </dxf>
    <dxf>
      <font>
        <b val="0"/>
        <i val="0"/>
        <strike val="0"/>
        <condense val="0"/>
        <extend val="0"/>
        <outline val="0"/>
        <shadow val="0"/>
        <u val="none"/>
        <vertAlign val="baseline"/>
        <sz val="10"/>
        <color theme="1"/>
        <name val="ArialMT"/>
        <scheme val="none"/>
      </font>
    </dxf>
    <dxf>
      <font>
        <name val="ArialMT"/>
      </font>
      <numFmt numFmtId="2" formatCode="0.00"/>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1"/>
        <color theme="1"/>
        <name val="Segoe UI"/>
        <family val="2"/>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rgb="FF000000"/>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numFmt numFmtId="34" formatCode="_(&quot;$&quot;* #,##0.00_);_(&quot;$&quot;* \(#,##0.00\);_(&quot;$&quot;* &quot;-&quot;??_);_(@_)"/>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rgb="FF000000"/>
        <name val="ArialMT"/>
        <scheme val="none"/>
      </font>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theme="1"/>
        <name val="ArialMT"/>
        <scheme val="none"/>
      </font>
      <numFmt numFmtId="34" formatCode="_(&quot;$&quot;* #,##0.00_);_(&quot;$&quot;* \(#,##0.00\);_(&quot;$&quot;* &quot;-&quot;??_);_(@_)"/>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10" formatCode="&quot;$&quot;#,##0_);[Red]\(&quot;$&quot;#,##0\)"/>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10" formatCode="&quot;$&quot;#,##0_);[Red]\(&quot;$&quot;#,##0\)"/>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0" formatCode="General"/>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vertical="center" textRotation="0" wrapText="1" indent="0" justifyLastLine="0" shrinkToFit="0" readingOrder="0"/>
    </dxf>
    <dxf>
      <alignment vertical="center" textRotation="0" indent="0" justifyLastLine="0" shrinkToFit="0" readingOrder="0"/>
    </dxf>
    <dxf>
      <font>
        <b/>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auto="1"/>
        </patternFill>
      </fill>
      <alignment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auto="1"/>
        </patternFill>
      </fill>
      <alignment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auto="1"/>
        </patternFill>
      </fill>
      <alignment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alignment vertical="center" textRotation="0" indent="0" justifyLastLine="0" shrinkToFit="0" readingOrder="0"/>
    </dxf>
    <dxf>
      <fill>
        <patternFill patternType="none">
          <fgColor indexed="64"/>
          <bgColor auto="1"/>
        </patternFill>
      </fill>
      <alignment vertical="center" textRotation="0" indent="0" justifyLastLine="0" shrinkToFit="0" readingOrder="0"/>
    </dxf>
    <dxf>
      <font>
        <b/>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5" formatCode="_(* #,##0.00_);_(* \(#,##0.00\);_(* &quot;-&quot;??_);_(@_)"/>
    </dxf>
    <dxf>
      <numFmt numFmtId="35" formatCode="_(* #,##0.00_);_(* \(#,##0.00\);_(* &quot;-&quot;??_);_(@_)"/>
    </dxf>
    <dxf>
      <numFmt numFmtId="35" formatCode="_(* #,##0.00_);_(* \(#,##0.00\);_(* &quot;-&quot;??_);_(@_)"/>
    </dxf>
    <dxf>
      <numFmt numFmtId="35" formatCode="_(* #,##0.00_);_(* \(#,##0.00\);_(* &quot;-&quot;??_);_(@_)"/>
    </dxf>
    <dxf>
      <font>
        <b val="0"/>
        <i val="0"/>
        <strike val="0"/>
        <condense val="0"/>
        <extend val="0"/>
        <outline val="0"/>
        <shadow val="0"/>
        <u val="none"/>
        <vertAlign val="baseline"/>
        <sz val="10"/>
        <color auto="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auto="1"/>
        <name val="ArialM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MT"/>
        <scheme val="none"/>
      </font>
      <fill>
        <patternFill patternType="none">
          <fgColor indexed="64"/>
          <bgColor indexed="65"/>
        </patternFill>
      </fill>
      <alignment horizontal="general" vertical="center" textRotation="0" wrapText="0" indent="0" justifyLastLine="0" shrinkToFit="0" readingOrder="0"/>
    </dxf>
    <dxf>
      <font>
        <b/>
        <i val="0"/>
        <strike val="0"/>
        <condense val="0"/>
        <extend val="0"/>
        <outline val="0"/>
        <shadow val="0"/>
        <u val="none"/>
        <vertAlign val="baseline"/>
        <sz val="10"/>
        <color theme="0"/>
        <name val="ArialMT"/>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172" formatCode="_(* #,##0.0000_);_(* \(#,##0.0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172" formatCode="_(* #,##0.0000_);_(* \(#,##0.0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164" formatCode="_(* #,##0_);_(* \(#,##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164" formatCode="_(* #,##0_);_(* \(#,##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172" formatCode="_(* #,##0.0000_);_(* \(#,##0.0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172" formatCode="_(* #,##0.0000_);_(* \(#,##0.0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164" formatCode="_(* #,##0_);_(* \(#,##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164" formatCode="_(* #,##0_);_(* \(#,##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numFmt numFmtId="1" formatCode="0"/>
    </dxf>
    <dxf>
      <font>
        <b val="0"/>
        <i val="0"/>
        <strike val="0"/>
        <condense val="0"/>
        <extend val="0"/>
        <outline val="0"/>
        <shadow val="0"/>
        <u val="none"/>
        <vertAlign val="baseline"/>
        <sz val="10"/>
        <color theme="1"/>
        <name val="Arial"/>
        <family val="2"/>
        <scheme val="none"/>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numFmt numFmtId="1"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center" vertical="center" textRotation="0" wrapText="1" indent="0" justifyLastLine="0" shrinkToFit="0" readingOrder="0"/>
    </dxf>
    <dxf>
      <alignment textRotation="0" wrapText="1" indent="0" justifyLastLine="0" shrinkToFit="0" readingOrder="0"/>
    </dxf>
    <dxf>
      <numFmt numFmtId="34" formatCode="_(&quot;$&quot;* #,##0.00_);_(&quot;$&quot;* \(#,##0.00\);_(&quot;$&quot;* &quot;-&quot;??_);_(@_)"/>
      <alignment textRotation="0" wrapText="1" indent="0" justifyLastLine="0" shrinkToFit="0" readingOrder="0"/>
    </dxf>
    <dxf>
      <numFmt numFmtId="34" formatCode="_(&quot;$&quot;* #,##0.00_);_(&quot;$&quot;* \(#,##0.00\);_(&quot;$&quot;* &quot;-&quot;??_);_(@_)"/>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numFmt numFmtId="34" formatCode="_(&quot;$&quot;* #,##0.00_);_(&quot;$&quot;* \(#,##0.00\);_(&quot;$&quot;* &quot;-&quot;??_);_(@_)"/>
      <alignment textRotation="0" wrapText="1" indent="0" justifyLastLine="0" shrinkToFit="0" readingOrder="0"/>
    </dxf>
    <dxf>
      <alignment textRotation="0" wrapText="1" indent="0" justifyLastLine="0" shrinkToFit="0" readingOrder="0"/>
    </dxf>
    <dxf>
      <numFmt numFmtId="34" formatCode="_(&quot;$&quot;* #,##0.00_);_(&quot;$&quot;* \(#,##0.00\);_(&quot;$&quot;* &quot;-&quot;??_);_(@_)"/>
      <alignment textRotation="0" wrapText="1" indent="0" justifyLastLine="0" shrinkToFit="0" readingOrder="0"/>
    </dxf>
    <dxf>
      <alignment textRotation="0" wrapText="1" indent="0" justifyLastLine="0" shrinkToFit="0" readingOrder="0"/>
    </dxf>
    <dxf>
      <numFmt numFmtId="0" formatCode="General"/>
      <alignment textRotation="0" wrapText="1" indent="0" justifyLastLine="0" shrinkToFit="0" readingOrder="0"/>
    </dxf>
    <dxf>
      <alignment textRotation="0" wrapText="1" indent="0" justifyLastLine="0" shrinkToFit="0" readingOrder="0"/>
    </dxf>
    <dxf>
      <numFmt numFmtId="0" formatCode="General"/>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numFmt numFmtId="34" formatCode="_(&quot;$&quot;* #,##0.00_);_(&quot;$&quot;* \(#,##0.00\);_(&quot;$&quot;* &quot;-&quot;??_);_(@_)"/>
      <alignment horizontal="general" vertical="center" textRotation="0" wrapText="1" indent="0" justifyLastLine="0" shrinkToFit="0" readingOrder="0"/>
    </dxf>
    <dxf>
      <numFmt numFmtId="34" formatCode="_(&quot;$&quot;* #,##0.00_);_(&quot;$&quot;* \(#,##0.00\);_(&quot;$&quot;* &quot;-&quot;??_);_(@_)"/>
      <alignment horizontal="general" vertical="center" textRotation="0" wrapText="1" indent="0" justifyLastLine="0" shrinkToFit="0" readingOrder="0"/>
    </dxf>
    <dxf>
      <numFmt numFmtId="34" formatCode="_(&quot;$&quot;* #,##0.00_);_(&quot;$&quot;* \(#,##0.00\);_(&quot;$&quot;* &quot;-&quot;??_);_(@_)"/>
      <alignment horizontal="general" vertical="center" textRotation="0" wrapText="1" indent="0" justifyLastLine="0" shrinkToFit="0" readingOrder="0"/>
    </dxf>
    <dxf>
      <numFmt numFmtId="34" formatCode="_(&quot;$&quot;* #,##0.00_);_(&quot;$&quot;* \(#,##0.00\);_(&quot;$&quot;*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dxf>
    <dxf>
      <numFmt numFmtId="34" formatCode="_(&quot;$&quot;* #,##0.00_);_(&quot;$&quot;* \(#,##0.00\);_(&quot;$&quot;* &quot;-&quot;??_);_(@_)"/>
      <alignment horizontal="general" vertical="center" textRotation="0" wrapText="1" indent="0" justifyLastLine="0" shrinkToFit="0" readingOrder="0"/>
    </dxf>
    <dxf>
      <numFmt numFmtId="1" formatCode="0"/>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numFmt numFmtId="34" formatCode="_(&quot;$&quot;* #,##0.00_);_(&quot;$&quot;* \(#,##0.00\);_(&quot;$&quot;* &quot;-&quot;??_);_(@_)"/>
      <alignment horizontal="general" vertical="center" textRotation="0" wrapText="1" indent="0" justifyLastLine="0" shrinkToFit="0" readingOrder="0"/>
    </dxf>
    <dxf>
      <numFmt numFmtId="34" formatCode="_(&quot;$&quot;* #,##0.00_);_(&quot;$&quot;* \(#,##0.00\);_(&quot;$&quot;* &quot;-&quot;??_);_(@_)"/>
      <alignment horizontal="general" vertical="center" textRotation="0" wrapText="1" indent="0" justifyLastLine="0" shrinkToFit="0" readingOrder="0"/>
    </dxf>
    <dxf>
      <numFmt numFmtId="34" formatCode="_(&quot;$&quot;* #,##0.00_);_(&quot;$&quot;* \(#,##0.00\);_(&quot;$&quot;* &quot;-&quot;??_);_(@_)"/>
      <alignment horizontal="general" vertical="center" textRotation="0" wrapText="1" indent="0" justifyLastLine="0" shrinkToFit="0" readingOrder="0"/>
    </dxf>
    <dxf>
      <numFmt numFmtId="34" formatCode="_(&quot;$&quot;* #,##0.00_);_(&quot;$&quot;* \(#,##0.00\);_(&quot;$&quot;*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dxf>
    <dxf>
      <numFmt numFmtId="34" formatCode="_(&quot;$&quot;* #,##0.00_);_(&quot;$&quot;* \(#,##0.00\);_(&quot;$&quot;* &quot;-&quot;??_);_(@_)"/>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numFmt numFmtId="34" formatCode="_(&quot;$&quot;* #,##0.00_);_(&quot;$&quot;* \(#,##0.00\);_(&quot;$&quot;* &quot;-&quot;??_);_(@_)"/>
      <alignment horizontal="general"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alignment horizontal="general" vertical="center" textRotation="0" wrapText="1" indent="0" justifyLastLine="0" shrinkToFit="0" readingOrder="0"/>
    </dxf>
    <dxf>
      <numFmt numFmtId="34" formatCode="_(&quot;$&quot;* #,##0.00_);_(&quot;$&quot;* \(#,##0.00\);_(&quot;$&quot;* &quot;-&quot;??_);_(@_)"/>
      <alignment vertical="center" textRotation="0" wrapText="1" indent="0" justifyLastLine="0" shrinkToFit="0" readingOrder="0"/>
    </dxf>
    <dxf>
      <alignment horizontal="general"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alignment horizontal="center" vertical="center" textRotation="0" wrapText="1" indent="0" justifyLastLine="0" shrinkToFit="0" readingOrder="0"/>
    </dxf>
    <dxf>
      <numFmt numFmtId="34" formatCode="_(&quot;$&quot;* #,##0.00_);_(&quot;$&quot;* \(#,##0.00\);_(&quot;$&quot;* &quot;-&quot;??_);_(@_)"/>
      <alignment horizontal="general" vertical="center" textRotation="0" wrapText="1" indent="0" justifyLastLine="0" shrinkToFit="0" readingOrder="0"/>
    </dxf>
    <dxf>
      <alignment vertical="center" textRotation="0" wrapText="1" indent="0" justifyLastLine="0" shrinkToFit="0" readingOrder="0"/>
    </dxf>
    <dxf>
      <numFmt numFmtId="164" formatCode="_(* #,##0_);_(* \(#,##0\);_(* &quot;-&quot;??_);_(@_)"/>
      <alignment horizontal="general" vertical="center" textRotation="0" wrapText="1" indent="0" justifyLastLine="0" shrinkToFit="0" readingOrder="0"/>
    </dxf>
    <dxf>
      <alignment vertical="center" textRotation="0" wrapText="1" indent="0" justifyLastLine="0" shrinkToFit="0" readingOrder="0"/>
    </dxf>
    <dxf>
      <alignment horizontal="general" vertical="center" textRotation="0" wrapText="1" indent="0" justifyLastLine="0" shrinkToFit="0" readingOrder="0"/>
    </dxf>
    <dxf>
      <numFmt numFmtId="34" formatCode="_(&quot;$&quot;* #,##0.00_);_(&quot;$&quot;* \(#,##0.00\);_(&quot;$&quot;* &quot;-&quot;??_);_(@_)"/>
      <alignment vertical="center" textRotation="0" wrapText="1" indent="0" justifyLastLine="0" shrinkToFit="0" readingOrder="0"/>
    </dxf>
    <dxf>
      <alignment horizontal="general"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alignment horizontal="center" vertical="center" textRotation="0" wrapText="1" indent="0" justifyLastLine="0" shrinkToFit="0" readingOrder="0"/>
    </dxf>
    <dxf>
      <numFmt numFmtId="34" formatCode="_(&quot;$&quot;* #,##0.00_);_(&quot;$&quot;* \(#,##0.00\);_(&quot;$&quot;* &quot;-&quot;??_);_(@_)"/>
      <alignment horizontal="general" vertical="center" textRotation="0" wrapText="1" indent="0" justifyLastLine="0" shrinkToFit="0" readingOrder="0"/>
    </dxf>
    <dxf>
      <numFmt numFmtId="34" formatCode="_(&quot;$&quot;* #,##0.00_);_(&quot;$&quot;* \(#,##0.00\);_(&quot;$&quot;* &quot;-&quot;??_);_(@_)"/>
      <alignment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164" formatCode="_(* #,##0_);_(* \(#,##0\);_(* &quot;-&quot;??_);_(@_)"/>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vertical="center" textRotation="0" wrapText="1" indent="0" justifyLastLine="0" shrinkToFit="0" readingOrder="0"/>
    </dxf>
    <dxf>
      <alignment horizontal="general" vertical="center" textRotation="0" wrapText="1" indent="0" justifyLastLine="0" shrinkToFit="0" readingOrder="0"/>
    </dxf>
    <dxf>
      <alignment vertical="center" textRotation="0" wrapText="1" indent="0" justifyLastLine="0" shrinkToFit="0" readingOrder="0"/>
    </dxf>
    <dxf>
      <alignment horizontal="general"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alignment horizontal="center" vertical="center" textRotation="0" wrapText="1"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164" formatCode="_(* #,##0_);_(* \(#,##0\);_(* &quot;-&quot;??_);_(@_)"/>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164" formatCode="_(* #,##0_);_(* \(#,##0\);_(* &quot;-&quot;??_);_(@_)"/>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rgb="FF000000"/>
        <name val="ArialMT"/>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MT"/>
        <scheme val="none"/>
      </font>
      <fill>
        <patternFill patternType="none">
          <fgColor indexed="64"/>
          <bgColor auto="1"/>
        </patternFill>
      </fill>
      <alignment horizontal="center" vertical="center" textRotation="0" wrapText="1" indent="0" justifyLastLine="0" shrinkToFit="0" readingOrder="0"/>
    </dxf>
    <dxf>
      <font>
        <b val="0"/>
        <i/>
        <strike val="0"/>
        <condense val="0"/>
        <extend val="0"/>
        <outline val="0"/>
        <shadow val="0"/>
        <u val="none"/>
        <vertAlign val="baseline"/>
        <sz val="10"/>
        <color rgb="FF000000"/>
        <name val="ArialMT"/>
        <scheme val="none"/>
      </font>
      <numFmt numFmtId="173" formatCode="0.000"/>
      <fill>
        <patternFill patternType="none">
          <fgColor indexed="64"/>
          <bgColor auto="1"/>
        </patternFill>
      </fill>
      <alignment horizontal="center" vertical="center" textRotation="0" wrapText="0" indent="0" justifyLastLine="0" shrinkToFit="0" readingOrder="0"/>
    </dxf>
    <dxf>
      <font>
        <b val="0"/>
        <i/>
        <strike val="0"/>
        <condense val="0"/>
        <extend val="0"/>
        <outline val="0"/>
        <shadow val="0"/>
        <u val="none"/>
        <vertAlign val="baseline"/>
        <sz val="10"/>
        <color rgb="FF000000"/>
        <name val="ArialMT"/>
        <scheme val="none"/>
      </font>
      <numFmt numFmtId="173" formatCode="0.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rgb="FF000000"/>
        <name val="ArialMT"/>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rgb="FF000000"/>
        <name val="ArialMT"/>
        <scheme val="none"/>
      </font>
      <fill>
        <patternFill patternType="none">
          <fgColor indexed="64"/>
          <bgColor auto="1"/>
        </patternFill>
      </fill>
      <alignment horizontal="center" vertical="center" textRotation="0" wrapText="0" indent="0" justifyLastLine="0" shrinkToFit="0" readingOrder="0"/>
    </dxf>
    <dxf>
      <border outline="0">
        <left style="thin">
          <color indexed="64"/>
        </left>
        <bottom style="double">
          <color indexed="64"/>
        </bottom>
      </border>
    </dxf>
    <dxf>
      <fill>
        <patternFill patternType="none">
          <fgColor indexed="64"/>
          <bgColor auto="1"/>
        </patternFill>
      </fill>
    </dxf>
    <dxf>
      <font>
        <b val="0"/>
        <i val="0"/>
        <strike val="0"/>
        <condense val="0"/>
        <extend val="0"/>
        <outline val="0"/>
        <shadow val="0"/>
        <u val="none"/>
        <vertAlign val="baseline"/>
        <sz val="10"/>
        <color theme="0"/>
        <name val="ArialMT"/>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alignment horizontal="general" vertical="bottom"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164" formatCode="_(* #,##0_);_(* \(#,##0\);_(* &quot;-&quot;??_);_(@_)"/>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0"/>
        <color theme="1"/>
        <name val="ArialMT"/>
        <scheme val="none"/>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left" vertical="bottom" textRotation="0" wrapText="1" indent="0" justifyLastLine="0" shrinkToFit="0" readingOrder="0"/>
    </dxf>
    <dxf>
      <font>
        <b/>
        <i val="0"/>
        <strike val="0"/>
        <condense val="0"/>
        <extend val="0"/>
        <outline val="0"/>
        <shadow val="0"/>
        <u val="none"/>
        <vertAlign val="baseline"/>
        <sz val="10"/>
        <color theme="1"/>
        <name val="ArialMT"/>
        <scheme val="none"/>
      </font>
      <fill>
        <patternFill patternType="none">
          <fgColor indexed="64"/>
          <bgColor indexed="65"/>
        </patternFill>
      </fill>
      <alignment horizontal="center" vertical="bottom" textRotation="0" wrapText="1" indent="0" justifyLastLine="0" shrinkToFit="0" readingOrder="0"/>
    </dxf>
    <dxf>
      <numFmt numFmtId="34" formatCode="_(&quot;$&quot;* #,##0.00_);_(&quot;$&quot;* \(#,##0.00\);_(&quot;$&quot;* &quot;-&quot;??_);_(@_)"/>
    </dxf>
    <dxf>
      <font>
        <b/>
        <i val="0"/>
        <strike val="0"/>
        <condense val="0"/>
        <extend val="0"/>
        <outline val="0"/>
        <shadow val="0"/>
        <u val="none"/>
        <vertAlign val="baseline"/>
        <sz val="10"/>
        <color theme="1"/>
        <name val="ArialMT"/>
        <scheme val="none"/>
      </font>
      <fill>
        <patternFill patternType="none">
          <fgColor indexed="64"/>
          <bgColor indexed="65"/>
        </patternFill>
      </fill>
      <alignment horizontal="center" vertical="bottom" textRotation="0" wrapText="1" indent="0" justifyLastLine="0" shrinkToFit="0" readingOrder="0"/>
    </dxf>
    <dxf>
      <numFmt numFmtId="34" formatCode="_(&quot;$&quot;* #,##0.00_);_(&quot;$&quot;* \(#,##0.00\);_(&quot;$&quot;* &quot;-&quot;??_);_(@_)"/>
    </dxf>
    <dxf>
      <font>
        <b/>
        <i val="0"/>
        <strike val="0"/>
        <condense val="0"/>
        <extend val="0"/>
        <outline val="0"/>
        <shadow val="0"/>
        <u val="none"/>
        <vertAlign val="baseline"/>
        <sz val="10"/>
        <color theme="1"/>
        <name val="ArialMT"/>
        <scheme val="none"/>
      </font>
      <fill>
        <patternFill patternType="none">
          <fgColor indexed="64"/>
          <bgColor indexed="65"/>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0" formatCode="General"/>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numFmt numFmtId="35" formatCode="_(* #,##0.00_);_(* \(#,##0.00\);_(* &quot;-&quot;??_);_(@_)"/>
    </dxf>
    <dxf>
      <font>
        <b/>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i val="0"/>
        <strike val="0"/>
        <condense val="0"/>
        <extend val="0"/>
        <outline val="0"/>
        <shadow val="0"/>
        <u val="none"/>
        <vertAlign val="baseline"/>
        <sz val="10"/>
        <color theme="1"/>
        <name val="ArialMT"/>
        <scheme val="none"/>
      </font>
      <numFmt numFmtId="168" formatCode="[$-409]h:mm\ AM/PM;@"/>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MT"/>
        <scheme val="none"/>
      </font>
      <fill>
        <patternFill patternType="none">
          <fgColor rgb="FF000000"/>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border>
        <left style="thin">
          <color rgb="FF7F7F7F"/>
        </left>
      </border>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numFmt numFmtId="13" formatCode="0%"/>
      <alignment horizontal="center" vertical="center" textRotation="0" wrapText="0" indent="0" justifyLastLine="0" shrinkToFit="0" readingOrder="0"/>
      <border outline="0">
        <left style="thin">
          <color rgb="FF7F7F7F"/>
        </left>
      </border>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numFmt numFmtId="13" formatCode="0%"/>
      <alignment horizontal="center" vertical="center" textRotation="0" wrapText="0" indent="0" justifyLastLine="0" shrinkToFit="0" readingOrder="0"/>
      <border outline="0">
        <right style="thin">
          <color rgb="FF7F7F7F"/>
        </right>
      </border>
    </dxf>
    <dxf>
      <font>
        <b/>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i val="0"/>
        <strike val="0"/>
        <condense val="0"/>
        <extend val="0"/>
        <outline val="0"/>
        <shadow val="0"/>
        <u val="none"/>
        <vertAlign val="baseline"/>
        <sz val="10"/>
        <color theme="1"/>
        <name val="ArialMT"/>
        <scheme val="none"/>
      </font>
      <numFmt numFmtId="168" formatCode="[$-409]h:mm\ AM/PM;@"/>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MT"/>
        <scheme val="none"/>
      </font>
      <fill>
        <patternFill patternType="none">
          <fgColor rgb="FF000000"/>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border>
        <left style="thin">
          <color rgb="FF7F7F7F"/>
        </left>
      </border>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numFmt numFmtId="13" formatCode="0%"/>
      <alignment horizontal="center" vertical="center" textRotation="0" wrapText="0" indent="0" justifyLastLine="0" shrinkToFit="0" readingOrder="0"/>
      <border outline="0">
        <left style="thin">
          <color rgb="FF7F7F7F"/>
        </left>
      </border>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numFmt numFmtId="13" formatCode="0%"/>
      <alignment horizontal="center" vertical="center" textRotation="0" wrapText="0" indent="0" justifyLastLine="0" shrinkToFit="0" readingOrder="0"/>
      <border outline="0">
        <right style="thin">
          <color rgb="FF7F7F7F"/>
        </right>
      </border>
    </dxf>
    <dxf>
      <font>
        <b/>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i val="0"/>
        <strike val="0"/>
        <condense val="0"/>
        <extend val="0"/>
        <outline val="0"/>
        <shadow val="0"/>
        <u val="none"/>
        <vertAlign val="baseline"/>
        <sz val="10"/>
        <color theme="1"/>
        <name val="ArialMT"/>
        <scheme val="none"/>
      </font>
      <numFmt numFmtId="168" formatCode="[$-409]h:mm\ AM/PM;@"/>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MT"/>
        <scheme val="none"/>
      </font>
      <fill>
        <patternFill patternType="none">
          <fgColor rgb="FF000000"/>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174" formatCode="#,##0.000"/>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general" vertical="center" textRotation="0" wrapText="1" indent="0" justifyLastLine="0" shrinkToFit="0" readingOrder="0"/>
    </dxf>
    <dxf>
      <font>
        <b/>
        <i val="0"/>
        <strike val="0"/>
        <condense val="0"/>
        <extend val="0"/>
        <outline val="0"/>
        <shadow val="0"/>
        <u val="none"/>
        <vertAlign val="baseline"/>
        <sz val="10"/>
        <color theme="1"/>
        <name val="ArialMT"/>
        <scheme val="none"/>
      </font>
      <alignment horizontal="general" vertical="bottom" textRotation="0" wrapText="1" indent="0" justifyLastLine="0" shrinkToFit="0" readingOrder="0"/>
    </dxf>
    <dxf>
      <font>
        <b/>
        <i val="0"/>
        <strike val="0"/>
        <condense val="0"/>
        <extend val="0"/>
        <outline val="0"/>
        <shadow val="0"/>
        <u val="none"/>
        <vertAlign val="baseline"/>
        <sz val="10"/>
        <color theme="1"/>
        <name val="ArialMT"/>
        <scheme val="none"/>
      </font>
      <numFmt numFmtId="168" formatCode="[$-409]h:mm\ AM/PM;@"/>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rgb="FF3F3F76"/>
        <name val="ArialMT"/>
        <scheme val="none"/>
      </font>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174" formatCode="#,##0.000"/>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general" vertical="center" textRotation="0" wrapText="1" indent="0" justifyLastLine="0" shrinkToFit="0" readingOrder="0"/>
    </dxf>
    <dxf>
      <font>
        <b/>
        <i val="0"/>
        <strike val="0"/>
        <condense val="0"/>
        <extend val="0"/>
        <outline val="0"/>
        <shadow val="0"/>
        <u val="none"/>
        <vertAlign val="baseline"/>
        <sz val="10"/>
        <color theme="1"/>
        <name val="ArialMT"/>
        <scheme val="none"/>
      </font>
      <alignment horizontal="general" vertical="bottom" textRotation="0" wrapText="1" indent="0" justifyLastLine="0" shrinkToFit="0" readingOrder="0"/>
    </dxf>
    <dxf>
      <font>
        <b/>
        <i val="0"/>
        <strike val="0"/>
        <condense val="0"/>
        <extend val="0"/>
        <outline val="0"/>
        <shadow val="0"/>
        <u val="none"/>
        <vertAlign val="baseline"/>
        <sz val="10"/>
        <color theme="1"/>
        <name val="ArialMT"/>
        <scheme val="none"/>
      </font>
      <numFmt numFmtId="168" formatCode="[$-409]h:mm\ AM/PM;@"/>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rgb="FF3F3F76"/>
        <name val="ArialMT"/>
        <scheme val="none"/>
      </font>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numFmt numFmtId="35" formatCode="_(* #,##0.00_);_(* \(#,##0.00\);_(* &quot;-&quot;??_);_(@_)"/>
    </dxf>
    <dxf>
      <font>
        <b/>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i val="0"/>
        <strike val="0"/>
        <condense val="0"/>
        <extend val="0"/>
        <outline val="0"/>
        <shadow val="0"/>
        <u val="none"/>
        <vertAlign val="baseline"/>
        <sz val="10"/>
        <color theme="1"/>
        <name val="ArialMT"/>
        <scheme val="none"/>
      </font>
      <numFmt numFmtId="168" formatCode="[$-409]h:mm\ AM/PM;@"/>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left"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left" vertical="center" textRotation="0" wrapText="1" indent="0" justifyLastLine="0" shrinkToFit="0" readingOrder="0"/>
    </dxf>
    <dxf>
      <numFmt numFmtId="1" formatCode="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left" vertical="center" textRotation="0" wrapText="1" indent="0" justifyLastLine="0" shrinkToFit="0" readingOrder="0"/>
    </dxf>
    <dxf>
      <numFmt numFmtId="35" formatCode="_(* #,##0.00_);_(* \(#,##0.00\);_(* &quot;-&quot;??_);_(@_)"/>
      <border outline="0">
        <left style="thin">
          <color rgb="FF7F7F7F"/>
        </left>
      </border>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left" vertical="center" textRotation="0" wrapText="1" indent="0" justifyLastLine="0" shrinkToFit="0" readingOrder="0"/>
    </dxf>
    <dxf>
      <numFmt numFmtId="164" formatCode="_(* #,##0_);_(* \(#,##0\);_(* &quot;-&quot;??_);_(@_)"/>
      <border outline="0">
        <left style="thin">
          <color rgb="FF7F7F7F"/>
        </left>
      </border>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left" vertical="center" textRotation="0" wrapText="1" indent="0" justifyLastLine="0" shrinkToFit="0" readingOrder="0"/>
    </dxf>
    <dxf>
      <numFmt numFmtId="13" formatCode="0%"/>
      <alignment horizontal="center" vertical="center" textRotation="0" wrapText="0" indent="0" justifyLastLine="0" shrinkToFit="0" readingOrder="0"/>
      <border outline="0">
        <left style="thin">
          <color rgb="FF7F7F7F"/>
        </left>
        <right style="thin">
          <color rgb="FF7F7F7F"/>
        </right>
      </border>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left" vertical="center" textRotation="0" wrapText="1" indent="0" justifyLastLine="0" shrinkToFit="0" readingOrder="0"/>
    </dxf>
    <dxf>
      <numFmt numFmtId="13" formatCode="0%"/>
      <alignment horizontal="center" vertical="center" textRotation="0" wrapText="0" indent="0" justifyLastLine="0" shrinkToFit="0" readingOrder="0"/>
      <border outline="0">
        <right style="thin">
          <color rgb="FF7F7F7F"/>
        </right>
      </border>
    </dxf>
    <dxf>
      <font>
        <b/>
        <i val="0"/>
        <strike val="0"/>
        <condense val="0"/>
        <extend val="0"/>
        <outline val="0"/>
        <shadow val="0"/>
        <u val="none"/>
        <vertAlign val="baseline"/>
        <sz val="10"/>
        <color theme="1"/>
        <name val="ArialMT"/>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0"/>
        <color theme="1"/>
        <name val="ArialMT"/>
        <scheme val="none"/>
      </font>
      <numFmt numFmtId="168" formatCode="[$-409]h:mm\ AM/PM;@"/>
      <fill>
        <patternFill patternType="none">
          <fgColor indexed="64"/>
          <bgColor indexed="65"/>
        </patternFill>
      </fill>
      <alignment horizontal="general" vertical="bottom" textRotation="0" wrapText="1"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numFmt numFmtId="1" formatCode="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numFmt numFmtId="35" formatCode="_(* #,##0.00_);_(* \(#,##0.00\);_(* &quot;-&quot;??_);_(@_)"/>
      <border outline="0">
        <left style="thin">
          <color rgb="FF7F7F7F"/>
        </left>
      </border>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numFmt numFmtId="164" formatCode="_(* #,##0_);_(* \(#,##0\);_(* &quot;-&quot;??_);_(@_)"/>
      <border outline="0">
        <left style="thin">
          <color rgb="FF7F7F7F"/>
        </left>
      </border>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numFmt numFmtId="13" formatCode="0%"/>
      <alignment horizontal="center" vertical="center" textRotation="0" wrapText="0" indent="0" justifyLastLine="0" shrinkToFit="0" readingOrder="0"/>
      <border outline="0">
        <left style="thin">
          <color rgb="FF7F7F7F"/>
        </left>
        <right style="thin">
          <color rgb="FF7F7F7F"/>
        </right>
      </border>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numFmt numFmtId="13" formatCode="0%"/>
      <alignment horizontal="center" vertical="center" textRotation="0" wrapText="0" indent="0" justifyLastLine="0" shrinkToFit="0" readingOrder="0"/>
      <border outline="0">
        <right style="thin">
          <color rgb="FF7F7F7F"/>
        </right>
      </border>
    </dxf>
    <dxf>
      <font>
        <b/>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i val="0"/>
        <strike val="0"/>
        <condense val="0"/>
        <extend val="0"/>
        <outline val="0"/>
        <shadow val="0"/>
        <u val="none"/>
        <vertAlign val="baseline"/>
        <sz val="10"/>
        <color theme="1"/>
        <name val="ArialMT"/>
        <scheme val="none"/>
      </font>
      <numFmt numFmtId="168" formatCode="[$-409]h:mm\ AM/PM;@"/>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174" formatCode="#,##0.000"/>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general" vertical="center" textRotation="0" wrapText="1" indent="0" justifyLastLine="0" shrinkToFit="0" readingOrder="0"/>
    </dxf>
    <dxf>
      <font>
        <b/>
        <i val="0"/>
        <strike val="0"/>
        <condense val="0"/>
        <extend val="0"/>
        <outline val="0"/>
        <shadow val="0"/>
        <u val="none"/>
        <vertAlign val="baseline"/>
        <sz val="10"/>
        <color theme="1"/>
        <name val="ArialMT"/>
        <scheme val="none"/>
      </font>
      <alignment horizontal="general" vertical="bottom" textRotation="0" wrapText="1" indent="0" justifyLastLine="0" shrinkToFit="0" readingOrder="0"/>
    </dxf>
    <dxf>
      <font>
        <b/>
        <i val="0"/>
        <strike val="0"/>
        <condense val="0"/>
        <extend val="0"/>
        <outline val="0"/>
        <shadow val="0"/>
        <u val="none"/>
        <vertAlign val="baseline"/>
        <sz val="10"/>
        <color theme="1"/>
        <name val="ArialMT"/>
        <scheme val="none"/>
      </font>
      <numFmt numFmtId="168" formatCode="[$-409]h:mm\ AM/PM;@"/>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rgb="FF3F3F76"/>
        <name val="ArialMT"/>
        <scheme val="none"/>
      </font>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174" formatCode="#,##0.000"/>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general" vertical="center" textRotation="0" wrapText="1" indent="0" justifyLastLine="0" shrinkToFit="0" readingOrder="0"/>
    </dxf>
    <dxf>
      <font>
        <b/>
        <i val="0"/>
        <strike val="0"/>
        <condense val="0"/>
        <extend val="0"/>
        <outline val="0"/>
        <shadow val="0"/>
        <u val="none"/>
        <vertAlign val="baseline"/>
        <sz val="10"/>
        <color theme="1"/>
        <name val="ArialMT"/>
        <scheme val="none"/>
      </font>
      <alignment horizontal="general" vertical="bottom" textRotation="0" wrapText="1" indent="0" justifyLastLine="0" shrinkToFit="0" readingOrder="0"/>
    </dxf>
    <dxf>
      <font>
        <b/>
        <i val="0"/>
        <strike val="0"/>
        <condense val="0"/>
        <extend val="0"/>
        <outline val="0"/>
        <shadow val="0"/>
        <u val="none"/>
        <vertAlign val="baseline"/>
        <sz val="10"/>
        <color theme="1"/>
        <name val="ArialMT"/>
        <scheme val="none"/>
      </font>
      <numFmt numFmtId="168" formatCode="[$-409]h:mm\ AM/PM;@"/>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rgb="FF3F3F76"/>
        <name val="ArialMT"/>
        <scheme val="none"/>
      </font>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numFmt numFmtId="1" formatCode="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numFmt numFmtId="35" formatCode="_(* #,##0.00_);_(* \(#,##0.00\);_(* &quot;-&quot;??_);_(@_)"/>
      <border outline="0">
        <left style="thin">
          <color rgb="FF7F7F7F"/>
        </left>
      </border>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numFmt numFmtId="164" formatCode="_(* #,##0_);_(* \(#,##0\);_(* &quot;-&quot;??_);_(@_)"/>
      <border outline="0">
        <left style="thin">
          <color rgb="FF7F7F7F"/>
        </left>
      </border>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numFmt numFmtId="13" formatCode="0%"/>
      <alignment horizontal="center" vertical="center" textRotation="0" wrapText="0" indent="0" justifyLastLine="0" shrinkToFit="0" readingOrder="0"/>
      <border outline="0">
        <left style="thin">
          <color rgb="FF7F7F7F"/>
        </left>
        <right style="thin">
          <color rgb="FF7F7F7F"/>
        </right>
      </border>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numFmt numFmtId="13" formatCode="0%"/>
      <alignment horizontal="center" vertical="center" textRotation="0" wrapText="0" indent="0" justifyLastLine="0" shrinkToFit="0" readingOrder="0"/>
      <border outline="0">
        <right style="thin">
          <color rgb="FF7F7F7F"/>
        </right>
      </border>
    </dxf>
    <dxf>
      <font>
        <b/>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i val="0"/>
        <strike val="0"/>
        <condense val="0"/>
        <extend val="0"/>
        <outline val="0"/>
        <shadow val="0"/>
        <u val="none"/>
        <vertAlign val="baseline"/>
        <sz val="10"/>
        <color theme="1"/>
        <name val="ArialMT"/>
        <scheme val="none"/>
      </font>
      <numFmt numFmtId="168" formatCode="[$-409]h:mm\ AM/PM;@"/>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rgb="FF3F3F76"/>
        <name val="ArialMT"/>
        <scheme val="none"/>
      </font>
      <numFmt numFmtId="174" formatCode="#,##0.000"/>
      <alignment horizontal="right" vertical="center" textRotation="0" wrapText="1" indent="0" justifyLastLine="0" shrinkToFit="0" readingOrder="0"/>
    </dxf>
    <dxf>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font>
        <b/>
        <i val="0"/>
        <strike val="0"/>
        <condense val="0"/>
        <extend val="0"/>
        <outline val="0"/>
        <shadow val="0"/>
        <u val="none"/>
        <vertAlign val="baseline"/>
        <sz val="10"/>
        <color theme="1"/>
        <name val="ArialMT"/>
        <scheme val="none"/>
      </font>
      <alignment horizontal="general" vertical="bottom" textRotation="0" wrapText="1" indent="0" justifyLastLine="0" shrinkToFit="0" readingOrder="0"/>
    </dxf>
    <dxf>
      <font>
        <b/>
        <i val="0"/>
        <strike val="0"/>
        <condense val="0"/>
        <extend val="0"/>
        <outline val="0"/>
        <shadow val="0"/>
        <u val="none"/>
        <vertAlign val="baseline"/>
        <sz val="10"/>
        <color theme="1"/>
        <name val="ArialMT"/>
        <scheme val="none"/>
      </font>
      <numFmt numFmtId="168" formatCode="[$-409]h:mm\ AM/PM;@"/>
      <fill>
        <patternFill patternType="none">
          <fgColor indexed="64"/>
          <bgColor indexed="65"/>
        </patternFill>
      </fill>
      <alignment horizontal="general" vertical="bottom" textRotation="0" wrapText="1" indent="0" justifyLastLine="0" shrinkToFit="0" readingOrder="0"/>
    </dxf>
    <dxf>
      <alignment textRotation="0" wrapText="1" indent="0" justifyLastLine="0" shrinkToFit="0" readingOrder="0"/>
    </dxf>
    <dxf>
      <font>
        <b val="0"/>
        <i val="0"/>
        <strike val="0"/>
        <condense val="0"/>
        <extend val="0"/>
        <outline val="0"/>
        <shadow val="0"/>
        <u val="none"/>
        <vertAlign val="baseline"/>
        <sz val="10"/>
        <color rgb="FF3F3F76"/>
        <name val="ArialMT"/>
        <scheme val="none"/>
      </font>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numFmt numFmtId="34" formatCode="_(&quot;$&quot;* #,##0.00_);_(&quot;$&quot;* \(#,##0.00\);_(&quot;$&quot;* &quot;-&quot;??_);_(@_)"/>
    </dxf>
    <dxf>
      <font>
        <b val="0"/>
        <i val="0"/>
        <strike val="0"/>
        <condense val="0"/>
        <extend val="0"/>
        <outline val="0"/>
        <shadow val="0"/>
        <u val="none"/>
        <vertAlign val="baseline"/>
        <sz val="10"/>
        <color theme="1"/>
        <name val="ArialMT"/>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dxf>
    <dxf>
      <numFmt numFmtId="35" formatCode="_(* #,##0.00_);_(* \(#,##0.00\);_(* &quot;-&quot;??_);_(@_)"/>
    </dxf>
    <dxf>
      <numFmt numFmtId="35" formatCode="_(* #,##0.00_);_(* \(#,##0.00\);_(* &quot;-&quot;??_);_(@_)"/>
    </dxf>
    <dxf>
      <font>
        <b val="0"/>
        <i val="0"/>
        <strike val="0"/>
        <condense val="0"/>
        <extend val="0"/>
        <outline val="0"/>
        <shadow val="0"/>
        <u val="none"/>
        <vertAlign val="baseline"/>
        <sz val="10"/>
        <color theme="1"/>
        <name val="ArialMT"/>
        <scheme val="none"/>
      </font>
      <alignment horizontal="general" vertical="center" textRotation="0" wrapText="0" indent="0" justifyLastLine="0" shrinkToFit="0" readingOrder="0"/>
    </dxf>
    <dxf>
      <numFmt numFmtId="35" formatCode="_(* #,##0.00_);_(* \(#,##0.00\);_(* &quot;-&quot;??_);_(@_)"/>
    </dxf>
    <dxf>
      <font>
        <b val="0"/>
        <i val="0"/>
        <strike val="0"/>
        <condense val="0"/>
        <extend val="0"/>
        <outline val="0"/>
        <shadow val="0"/>
        <u val="none"/>
        <vertAlign val="baseline"/>
        <sz val="10"/>
        <color theme="1"/>
        <name val="ArialMT"/>
        <scheme val="none"/>
      </font>
      <alignment horizontal="general" vertical="center" textRotation="0" wrapText="0" indent="0" justifyLastLine="0" shrinkToFit="0" readingOrder="0"/>
    </dxf>
    <dxf>
      <numFmt numFmtId="35" formatCode="_(* #,##0.00_);_(* \(#,##0.00\);_(* &quot;-&quot;??_);_(@_)"/>
    </dxf>
    <dxf>
      <numFmt numFmtId="35" formatCode="_(* #,##0.00_);_(* \(#,##0.00\);_(* &quot;-&quot;??_);_(@_)"/>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alignment horizontal="general" vertical="bottom" textRotation="0" wrapText="1" indent="0" justifyLastLine="0" shrinkToFit="0" readingOrder="0"/>
    </dxf>
    <dxf>
      <numFmt numFmtId="35" formatCode="_(* #,##0.00_);_(* \(#,##0.00\);_(* &quot;-&quot;??_);_(@_)"/>
      <alignment horizontal="general" vertical="bottom" textRotation="0" wrapText="1" indent="0" justifyLastLine="0" shrinkToFit="0" readingOrder="0"/>
    </dxf>
    <dxf>
      <numFmt numFmtId="34" formatCode="_(&quot;$&quot;* #,##0.00_);_(&quot;$&quot;* \(#,##0.00\);_(&quot;$&quot;* &quot;-&quot;??_);_(@_)"/>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5"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5"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5"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5"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5"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5"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vertical="center" textRotation="0" wrapText="1" indent="0" justifyLastLine="0" shrinkToFit="0" readingOrder="0"/>
    </dxf>
    <dxf>
      <alignment horizontal="general" vertical="bottom" textRotation="0" wrapText="1" indent="0" justifyLastLine="0" shrinkToFit="0" readingOrder="0"/>
    </dxf>
    <dxf>
      <numFmt numFmtId="35" formatCode="_(* #,##0.00_);_(* \(#,##0.00\);_(* &quot;-&quot;??_);_(@_)"/>
      <alignment horizontal="general" vertical="bottom" textRotation="0" wrapText="1" indent="0" justifyLastLine="0" shrinkToFit="0" readingOrder="0"/>
    </dxf>
    <dxf>
      <numFmt numFmtId="34" formatCode="_(&quot;$&quot;* #,##0.00_);_(&quot;$&quot;* \(#,##0.00\);_(&quot;$&quot;* &quot;-&quot;??_);_(@_)"/>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center" textRotation="0" wrapText="1" indent="0" justifyLastLine="0" shrinkToFit="0" readingOrder="0"/>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5" formatCode="_(* #,##0.00_);_(* \(#,##0.00\);_(* &quot;-&quot;??_);_(@_)"/>
    </dxf>
    <dxf>
      <numFmt numFmtId="35" formatCode="_(* #,##0.00_);_(* \(#,##0.00\);_(* &quot;-&quot;??_);_(@_)"/>
    </dxf>
    <dxf>
      <font>
        <b val="0"/>
        <i val="0"/>
        <strike val="0"/>
        <condense val="0"/>
        <extend val="0"/>
        <outline val="0"/>
        <shadow val="0"/>
        <u val="none"/>
        <vertAlign val="baseline"/>
        <sz val="10"/>
        <color auto="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auto="1"/>
        <name val="ArialM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MT"/>
        <scheme val="none"/>
      </font>
      <fill>
        <patternFill patternType="none">
          <fgColor indexed="64"/>
          <bgColor indexed="65"/>
        </patternFill>
      </fill>
      <alignment horizontal="general" vertical="center" textRotation="0" wrapText="0" indent="0" justifyLastLine="0" shrinkToFit="0" readingOrder="0"/>
    </dxf>
    <dxf>
      <font>
        <b/>
        <i val="0"/>
        <strike val="0"/>
        <condense val="0"/>
        <extend val="0"/>
        <outline val="0"/>
        <shadow val="0"/>
        <u val="none"/>
        <vertAlign val="baseline"/>
        <sz val="10"/>
        <color theme="0"/>
        <name val="ArialMT"/>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172" formatCode="_(* #,##0.0000_);_(* \(#,##0.0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172" formatCode="_(* #,##0.0000_);_(* \(#,##0.0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164" formatCode="_(* #,##0_);_(* \(#,##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164" formatCode="_(* #,##0_);_(* \(#,##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172" formatCode="_(* #,##0.0000_);_(* \(#,##0.0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172" formatCode="_(* #,##0.0000_);_(* \(#,##0.0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164" formatCode="_(* #,##0_);_(* \(#,##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164" formatCode="_(* #,##0_);_(* \(#,##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numFmt numFmtId="35" formatCode="_(* #,##0.00_);_(* \(#,##0.00\);_(* &quot;-&quot;??_);_(@_)"/>
    </dxf>
    <dxf>
      <font>
        <b/>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i val="0"/>
        <strike val="0"/>
        <condense val="0"/>
        <extend val="0"/>
        <outline val="0"/>
        <shadow val="0"/>
        <u val="none"/>
        <vertAlign val="baseline"/>
        <sz val="10"/>
        <color theme="1"/>
        <name val="ArialMT"/>
        <scheme val="none"/>
      </font>
      <numFmt numFmtId="168" formatCode="[$-409]h:mm\ AM/PM;@"/>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MT"/>
        <scheme val="none"/>
      </font>
      <fill>
        <patternFill patternType="none">
          <fgColor rgb="FF000000"/>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border>
        <left style="thin">
          <color rgb="FF7F7F7F"/>
        </left>
      </border>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numFmt numFmtId="13" formatCode="0%"/>
      <alignment horizontal="center" vertical="center" textRotation="0" wrapText="0" indent="0" justifyLastLine="0" shrinkToFit="0" readingOrder="0"/>
      <border outline="0">
        <left style="thin">
          <color rgb="FF7F7F7F"/>
        </left>
      </border>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numFmt numFmtId="13" formatCode="0%"/>
      <alignment horizontal="center" vertical="center" textRotation="0" wrapText="0" indent="0" justifyLastLine="0" shrinkToFit="0" readingOrder="0"/>
      <border outline="0">
        <right style="thin">
          <color rgb="FF7F7F7F"/>
        </right>
      </border>
    </dxf>
    <dxf>
      <font>
        <b/>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i val="0"/>
        <strike val="0"/>
        <condense val="0"/>
        <extend val="0"/>
        <outline val="0"/>
        <shadow val="0"/>
        <u val="none"/>
        <vertAlign val="baseline"/>
        <sz val="10"/>
        <color theme="1"/>
        <name val="ArialMT"/>
        <scheme val="none"/>
      </font>
      <numFmt numFmtId="168" formatCode="[$-409]h:mm\ AM/PM;@"/>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MT"/>
        <scheme val="none"/>
      </font>
      <fill>
        <patternFill patternType="none">
          <fgColor rgb="FF000000"/>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border>
        <left style="thin">
          <color rgb="FF7F7F7F"/>
        </left>
      </border>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numFmt numFmtId="13" formatCode="0%"/>
      <alignment horizontal="center" vertical="center" textRotation="0" wrapText="0" indent="0" justifyLastLine="0" shrinkToFit="0" readingOrder="0"/>
      <border outline="0">
        <left style="thin">
          <color rgb="FF7F7F7F"/>
        </left>
      </border>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numFmt numFmtId="13" formatCode="0%"/>
      <alignment horizontal="center" vertical="center" textRotation="0" wrapText="0" indent="0" justifyLastLine="0" shrinkToFit="0" readingOrder="0"/>
      <border outline="0">
        <right style="thin">
          <color rgb="FF7F7F7F"/>
        </right>
      </border>
    </dxf>
    <dxf>
      <font>
        <b/>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i val="0"/>
        <strike val="0"/>
        <condense val="0"/>
        <extend val="0"/>
        <outline val="0"/>
        <shadow val="0"/>
        <u val="none"/>
        <vertAlign val="baseline"/>
        <sz val="10"/>
        <color theme="1"/>
        <name val="ArialMT"/>
        <scheme val="none"/>
      </font>
      <numFmt numFmtId="168" formatCode="[$-409]h:mm\ AM/PM;@"/>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MT"/>
        <scheme val="none"/>
      </font>
      <fill>
        <patternFill patternType="none">
          <fgColor rgb="FF000000"/>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174" formatCode="#,##0.000"/>
      <alignment horizontal="right"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font>
        <b/>
        <i val="0"/>
        <strike val="0"/>
        <condense val="0"/>
        <extend val="0"/>
        <outline val="0"/>
        <shadow val="0"/>
        <u val="none"/>
        <vertAlign val="baseline"/>
        <sz val="10"/>
        <color theme="1"/>
        <name val="ArialMT"/>
        <scheme val="none"/>
      </font>
      <alignment horizontal="general" vertical="bottom" textRotation="0" wrapText="1" indent="0" justifyLastLine="0" shrinkToFit="0" readingOrder="0"/>
    </dxf>
    <dxf>
      <font>
        <b/>
        <i val="0"/>
        <strike val="0"/>
        <condense val="0"/>
        <extend val="0"/>
        <outline val="0"/>
        <shadow val="0"/>
        <u val="none"/>
        <vertAlign val="baseline"/>
        <sz val="10"/>
        <color theme="1"/>
        <name val="ArialMT"/>
        <scheme val="none"/>
      </font>
      <numFmt numFmtId="168" formatCode="[$-409]h:mm\ AM/PM;@"/>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rgb="FF3F3F76"/>
        <name val="ArialMT"/>
        <scheme val="none"/>
      </font>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174" formatCode="#,##0.000"/>
      <alignment horizontal="right"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font>
        <b/>
        <i val="0"/>
        <strike val="0"/>
        <condense val="0"/>
        <extend val="0"/>
        <outline val="0"/>
        <shadow val="0"/>
        <u val="none"/>
        <vertAlign val="baseline"/>
        <sz val="10"/>
        <color theme="1"/>
        <name val="ArialMT"/>
        <scheme val="none"/>
      </font>
      <alignment horizontal="general" vertical="bottom" textRotation="0" wrapText="1" indent="0" justifyLastLine="0" shrinkToFit="0" readingOrder="0"/>
    </dxf>
    <dxf>
      <font>
        <b/>
        <i val="0"/>
        <strike val="0"/>
        <condense val="0"/>
        <extend val="0"/>
        <outline val="0"/>
        <shadow val="0"/>
        <u val="none"/>
        <vertAlign val="baseline"/>
        <sz val="10"/>
        <color theme="1"/>
        <name val="ArialMT"/>
        <scheme val="none"/>
      </font>
      <numFmt numFmtId="168" formatCode="[$-409]h:mm\ AM/PM;@"/>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rgb="FF3F3F76"/>
        <name val="ArialMT"/>
        <scheme val="none"/>
      </font>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numFmt numFmtId="35" formatCode="_(* #,##0.00_);_(* \(#,##0.00\);_(* &quot;-&quot;??_);_(@_)"/>
    </dxf>
    <dxf>
      <font>
        <b/>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i val="0"/>
        <strike val="0"/>
        <condense val="0"/>
        <extend val="0"/>
        <outline val="0"/>
        <shadow val="0"/>
        <u val="none"/>
        <vertAlign val="baseline"/>
        <sz val="10"/>
        <color theme="1"/>
        <name val="ArialMT"/>
        <scheme val="none"/>
      </font>
      <numFmt numFmtId="168" formatCode="[$-409]h:mm\ AM/PM;@"/>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left"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left" vertical="center" textRotation="0" wrapText="1" indent="0" justifyLastLine="0" shrinkToFit="0" readingOrder="0"/>
    </dxf>
    <dxf>
      <numFmt numFmtId="1" formatCode="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left" vertical="center" textRotation="0" wrapText="1" indent="0" justifyLastLine="0" shrinkToFit="0" readingOrder="0"/>
    </dxf>
    <dxf>
      <numFmt numFmtId="35" formatCode="_(* #,##0.00_);_(* \(#,##0.00\);_(* &quot;-&quot;??_);_(@_)"/>
      <border outline="0">
        <left style="thin">
          <color rgb="FF7F7F7F"/>
        </left>
      </border>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left" vertical="center" textRotation="0" wrapText="1" indent="0" justifyLastLine="0" shrinkToFit="0" readingOrder="0"/>
    </dxf>
    <dxf>
      <numFmt numFmtId="164" formatCode="_(* #,##0_);_(* \(#,##0\);_(* &quot;-&quot;??_);_(@_)"/>
      <border outline="0">
        <left style="thin">
          <color rgb="FF7F7F7F"/>
        </left>
      </border>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left" vertical="center" textRotation="0" wrapText="1" indent="0" justifyLastLine="0" shrinkToFit="0" readingOrder="0"/>
    </dxf>
    <dxf>
      <numFmt numFmtId="13" formatCode="0%"/>
      <alignment horizontal="center" vertical="center" textRotation="0" wrapText="0" indent="0" justifyLastLine="0" shrinkToFit="0" readingOrder="0"/>
      <border outline="0">
        <left style="thin">
          <color rgb="FF7F7F7F"/>
        </left>
        <right style="thin">
          <color rgb="FF7F7F7F"/>
        </right>
      </border>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left" vertical="center" textRotation="0" wrapText="1" indent="0" justifyLastLine="0" shrinkToFit="0" readingOrder="0"/>
    </dxf>
    <dxf>
      <numFmt numFmtId="13" formatCode="0%"/>
      <alignment horizontal="center" vertical="center" textRotation="0" wrapText="0" indent="0" justifyLastLine="0" shrinkToFit="0" readingOrder="0"/>
      <border outline="0">
        <right style="thin">
          <color rgb="FF7F7F7F"/>
        </right>
      </border>
    </dxf>
    <dxf>
      <font>
        <b/>
        <i val="0"/>
        <strike val="0"/>
        <condense val="0"/>
        <extend val="0"/>
        <outline val="0"/>
        <shadow val="0"/>
        <u val="none"/>
        <vertAlign val="baseline"/>
        <sz val="10"/>
        <color theme="1"/>
        <name val="ArialMT"/>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0"/>
        <color theme="1"/>
        <name val="ArialMT"/>
        <scheme val="none"/>
      </font>
      <numFmt numFmtId="168" formatCode="[$-409]h:mm\ AM/PM;@"/>
      <fill>
        <patternFill patternType="none">
          <fgColor indexed="64"/>
          <bgColor indexed="65"/>
        </patternFill>
      </fill>
      <alignment horizontal="general" vertical="bottom" textRotation="0" wrapText="1"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numFmt numFmtId="1" formatCode="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numFmt numFmtId="35" formatCode="_(* #,##0.00_);_(* \(#,##0.00\);_(* &quot;-&quot;??_);_(@_)"/>
      <border outline="0">
        <left style="thin">
          <color rgb="FF7F7F7F"/>
        </left>
      </border>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numFmt numFmtId="164" formatCode="_(* #,##0_);_(* \(#,##0\);_(* &quot;-&quot;??_);_(@_)"/>
      <border outline="0">
        <left style="thin">
          <color rgb="FF7F7F7F"/>
        </left>
      </border>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numFmt numFmtId="13" formatCode="0%"/>
      <alignment horizontal="center" vertical="center" textRotation="0" wrapText="0" indent="0" justifyLastLine="0" shrinkToFit="0" readingOrder="0"/>
      <border outline="0">
        <left style="thin">
          <color rgb="FF7F7F7F"/>
        </left>
        <right style="thin">
          <color rgb="FF7F7F7F"/>
        </right>
      </border>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numFmt numFmtId="13" formatCode="0%"/>
      <alignment horizontal="center" vertical="center" textRotation="0" wrapText="0" indent="0" justifyLastLine="0" shrinkToFit="0" readingOrder="0"/>
      <border outline="0">
        <right style="thin">
          <color rgb="FF7F7F7F"/>
        </right>
      </border>
    </dxf>
    <dxf>
      <font>
        <b/>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i val="0"/>
        <strike val="0"/>
        <condense val="0"/>
        <extend val="0"/>
        <outline val="0"/>
        <shadow val="0"/>
        <u val="none"/>
        <vertAlign val="baseline"/>
        <sz val="10"/>
        <color theme="1"/>
        <name val="ArialMT"/>
        <scheme val="none"/>
      </font>
      <numFmt numFmtId="168" formatCode="[$-409]h:mm\ AM/PM;@"/>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174" formatCode="#,##0.000"/>
      <alignment horizontal="right"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font>
        <b/>
        <i val="0"/>
        <strike val="0"/>
        <condense val="0"/>
        <extend val="0"/>
        <outline val="0"/>
        <shadow val="0"/>
        <u val="none"/>
        <vertAlign val="baseline"/>
        <sz val="10"/>
        <color theme="1"/>
        <name val="ArialMT"/>
        <scheme val="none"/>
      </font>
      <alignment horizontal="general" vertical="bottom" textRotation="0" wrapText="1" indent="0" justifyLastLine="0" shrinkToFit="0" readingOrder="0"/>
    </dxf>
    <dxf>
      <font>
        <b/>
        <i val="0"/>
        <strike val="0"/>
        <condense val="0"/>
        <extend val="0"/>
        <outline val="0"/>
        <shadow val="0"/>
        <u val="none"/>
        <vertAlign val="baseline"/>
        <sz val="10"/>
        <color theme="1"/>
        <name val="ArialMT"/>
        <scheme val="none"/>
      </font>
      <numFmt numFmtId="168" formatCode="[$-409]h:mm\ AM/PM;@"/>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rgb="FF3F3F76"/>
        <name val="ArialMT"/>
        <scheme val="none"/>
      </font>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174" formatCode="#,##0.000"/>
      <alignment horizontal="right"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font>
        <b/>
        <i val="0"/>
        <strike val="0"/>
        <condense val="0"/>
        <extend val="0"/>
        <outline val="0"/>
        <shadow val="0"/>
        <u val="none"/>
        <vertAlign val="baseline"/>
        <sz val="10"/>
        <color theme="1"/>
        <name val="ArialMT"/>
        <scheme val="none"/>
      </font>
      <alignment horizontal="general" vertical="bottom" textRotation="0" wrapText="1" indent="0" justifyLastLine="0" shrinkToFit="0" readingOrder="0"/>
    </dxf>
    <dxf>
      <font>
        <b/>
        <i val="0"/>
        <strike val="0"/>
        <condense val="0"/>
        <extend val="0"/>
        <outline val="0"/>
        <shadow val="0"/>
        <u val="none"/>
        <vertAlign val="baseline"/>
        <sz val="10"/>
        <color theme="1"/>
        <name val="ArialMT"/>
        <scheme val="none"/>
      </font>
      <numFmt numFmtId="168" formatCode="[$-409]h:mm\ AM/PM;@"/>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rgb="FF3F3F76"/>
        <name val="ArialMT"/>
        <scheme val="none"/>
      </font>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numFmt numFmtId="35" formatCode="_(* #,##0.00_);_(* \(#,##0.00\);_(* &quot;-&quot;??_);_(@_)"/>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numFmt numFmtId="1" formatCode="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numFmt numFmtId="35" formatCode="_(* #,##0.00_);_(* \(#,##0.00\);_(* &quot;-&quot;??_);_(@_)"/>
      <border outline="0">
        <left style="thin">
          <color rgb="FF7F7F7F"/>
        </left>
      </border>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numFmt numFmtId="164" formatCode="_(* #,##0_);_(* \(#,##0\);_(* &quot;-&quot;??_);_(@_)"/>
      <border outline="0">
        <left style="thin">
          <color rgb="FF7F7F7F"/>
        </left>
      </border>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numFmt numFmtId="13" formatCode="0%"/>
      <alignment horizontal="center" vertical="center" textRotation="0" wrapText="0" indent="0" justifyLastLine="0" shrinkToFit="0" readingOrder="0"/>
      <border outline="0">
        <left style="thin">
          <color rgb="FF7F7F7F"/>
        </left>
        <right style="thin">
          <color rgb="FF7F7F7F"/>
        </right>
      </border>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numFmt numFmtId="13" formatCode="0%"/>
      <alignment horizontal="center" vertical="center" textRotation="0" wrapText="0" indent="0" justifyLastLine="0" shrinkToFit="0" readingOrder="0"/>
      <border outline="0">
        <right style="thin">
          <color rgb="FF7F7F7F"/>
        </right>
      </border>
    </dxf>
    <dxf>
      <font>
        <b/>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i val="0"/>
        <strike val="0"/>
        <condense val="0"/>
        <extend val="0"/>
        <outline val="0"/>
        <shadow val="0"/>
        <u val="none"/>
        <vertAlign val="baseline"/>
        <sz val="10"/>
        <color theme="1"/>
        <name val="ArialMT"/>
        <scheme val="none"/>
      </font>
      <numFmt numFmtId="168" formatCode="[$-409]h:mm\ AM/PM;@"/>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rgb="FF3F3F76"/>
        <name val="ArialMT"/>
        <scheme val="none"/>
      </font>
      <numFmt numFmtId="174" formatCode="#,##0.000"/>
      <alignment horizontal="right" vertical="center" textRotation="0" wrapText="1" indent="0" justifyLastLine="0" shrinkToFit="0" readingOrder="0"/>
    </dxf>
    <dxf>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rgb="FF3F3F76"/>
        <name val="ArialMT"/>
        <scheme val="none"/>
      </font>
      <numFmt numFmtId="3" formatCode="#,##0"/>
      <alignment horizontal="right" vertical="center" textRotation="0" wrapText="1" indent="0" justifyLastLine="0" shrinkToFit="0" readingOrder="0"/>
    </dxf>
    <dxf>
      <font>
        <b/>
        <i val="0"/>
        <strike val="0"/>
        <condense val="0"/>
        <extend val="0"/>
        <outline val="0"/>
        <shadow val="0"/>
        <u val="none"/>
        <vertAlign val="baseline"/>
        <sz val="10"/>
        <color theme="1"/>
        <name val="ArialMT"/>
        <scheme val="none"/>
      </font>
      <alignment horizontal="general" vertical="bottom" textRotation="0" wrapText="1" indent="0" justifyLastLine="0" shrinkToFit="0" readingOrder="0"/>
    </dxf>
    <dxf>
      <font>
        <b/>
        <i val="0"/>
        <strike val="0"/>
        <condense val="0"/>
        <extend val="0"/>
        <outline val="0"/>
        <shadow val="0"/>
        <u val="none"/>
        <vertAlign val="baseline"/>
        <sz val="10"/>
        <color theme="1"/>
        <name val="ArialMT"/>
        <scheme val="none"/>
      </font>
      <numFmt numFmtId="168" formatCode="[$-409]h:mm\ AM/PM;@"/>
      <fill>
        <patternFill patternType="none">
          <fgColor indexed="64"/>
          <bgColor indexed="65"/>
        </patternFill>
      </fill>
      <alignment horizontal="general" vertical="bottom" textRotation="0" wrapText="1" indent="0" justifyLastLine="0" shrinkToFit="0" readingOrder="0"/>
    </dxf>
    <dxf>
      <alignment textRotation="0" wrapText="1" indent="0" justifyLastLine="0" shrinkToFit="0" readingOrder="0"/>
    </dxf>
    <dxf>
      <font>
        <b val="0"/>
        <i val="0"/>
        <strike val="0"/>
        <condense val="0"/>
        <extend val="0"/>
        <outline val="0"/>
        <shadow val="0"/>
        <u val="none"/>
        <vertAlign val="baseline"/>
        <sz val="10"/>
        <color rgb="FF3F3F76"/>
        <name val="ArialMT"/>
        <scheme val="none"/>
      </font>
      <alignment horizontal="left"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numFmt numFmtId="34" formatCode="_(&quot;$&quot;* #,##0.00_);_(&quot;$&quot;* \(#,##0.00\);_(&quot;$&quot;* &quot;-&quot;??_);_(@_)"/>
    </dxf>
    <dxf>
      <font>
        <b val="0"/>
        <i val="0"/>
        <strike val="0"/>
        <condense val="0"/>
        <extend val="0"/>
        <outline val="0"/>
        <shadow val="0"/>
        <u val="none"/>
        <vertAlign val="baseline"/>
        <sz val="10"/>
        <color theme="1"/>
        <name val="ArialMT"/>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dxf>
    <dxf>
      <numFmt numFmtId="35" formatCode="_(* #,##0.00_);_(* \(#,##0.00\);_(* &quot;-&quot;??_);_(@_)"/>
    </dxf>
    <dxf>
      <numFmt numFmtId="35" formatCode="_(* #,##0.00_);_(* \(#,##0.00\);_(* &quot;-&quot;??_);_(@_)"/>
    </dxf>
    <dxf>
      <font>
        <b val="0"/>
        <i val="0"/>
        <strike val="0"/>
        <condense val="0"/>
        <extend val="0"/>
        <outline val="0"/>
        <shadow val="0"/>
        <u val="none"/>
        <vertAlign val="baseline"/>
        <sz val="10"/>
        <color theme="1"/>
        <name val="ArialMT"/>
        <scheme val="none"/>
      </font>
      <alignment horizontal="general" vertical="center" textRotation="0" wrapText="0" indent="0" justifyLastLine="0" shrinkToFit="0" readingOrder="0"/>
    </dxf>
    <dxf>
      <numFmt numFmtId="35" formatCode="_(* #,##0.00_);_(* \(#,##0.00\);_(* &quot;-&quot;??_);_(@_)"/>
    </dxf>
    <dxf>
      <font>
        <b val="0"/>
        <i val="0"/>
        <strike val="0"/>
        <condense val="0"/>
        <extend val="0"/>
        <outline val="0"/>
        <shadow val="0"/>
        <u val="none"/>
        <vertAlign val="baseline"/>
        <sz val="10"/>
        <color theme="1"/>
        <name val="ArialMT"/>
        <scheme val="none"/>
      </font>
      <alignment horizontal="general" vertical="center" textRotation="0" wrapText="0" indent="0" justifyLastLine="0" shrinkToFit="0" readingOrder="0"/>
    </dxf>
    <dxf>
      <numFmt numFmtId="35" formatCode="_(* #,##0.00_);_(* \(#,##0.00\);_(* &quot;-&quot;??_);_(@_)"/>
    </dxf>
    <dxf>
      <numFmt numFmtId="35" formatCode="_(* #,##0.00_);_(* \(#,##0.00\);_(* &quot;-&quot;??_);_(@_)"/>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alignment horizontal="general" vertical="bottom" textRotation="0" wrapText="1" indent="0" justifyLastLine="0" shrinkToFit="0" readingOrder="0"/>
    </dxf>
    <dxf>
      <numFmt numFmtId="35" formatCode="_(* #,##0.00_);_(* \(#,##0.00\);_(* &quot;-&quot;??_);_(@_)"/>
      <alignment horizontal="general" vertical="bottom" textRotation="0" wrapText="1" indent="0" justifyLastLine="0" shrinkToFit="0" readingOrder="0"/>
    </dxf>
    <dxf>
      <numFmt numFmtId="34" formatCode="_(&quot;$&quot;* #,##0.00_);_(&quot;$&quot;* \(#,##0.00\);_(&quot;$&quot;* &quot;-&quot;??_);_(@_)"/>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5"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5"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5"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5"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5"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5"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vertical="center" textRotation="0" wrapText="1" indent="0" justifyLastLine="0" shrinkToFit="0" readingOrder="0"/>
    </dxf>
    <dxf>
      <alignment horizontal="general" vertical="bottom" textRotation="0" wrapText="1" indent="0" justifyLastLine="0" shrinkToFit="0" readingOrder="0"/>
    </dxf>
    <dxf>
      <numFmt numFmtId="35" formatCode="_(* #,##0.00_);_(* \(#,##0.00\);_(* &quot;-&quot;??_);_(@_)"/>
      <alignment horizontal="general" vertical="bottom" textRotation="0" wrapText="1" indent="0" justifyLastLine="0" shrinkToFit="0" readingOrder="0"/>
    </dxf>
    <dxf>
      <numFmt numFmtId="34" formatCode="_(&quot;$&quot;* #,##0.00_);_(&quot;$&quot;* \(#,##0.00\);_(&quot;$&quot;* &quot;-&quot;??_);_(@_)"/>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center" textRotation="0" wrapText="1" indent="0" justifyLastLine="0" shrinkToFit="0" readingOrder="0"/>
    </dxf>
    <dxf>
      <font>
        <b/>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numFmt numFmtId="34" formatCode="_(&quot;$&quot;* #,##0.00_);_(&quot;$&quot;* \(#,##0.00\);_(&quot;$&quot;* &quot;-&quot;??_);_(@_)"/>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numFmt numFmtId="34" formatCode="_(&quot;$&quot;* #,##0.00_);_(&quot;$&quot;* \(#,##0.00\);_(&quot;$&quot;* &quot;-&quot;??_);_(@_)"/>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numFmt numFmtId="34" formatCode="_(&quot;$&quot;* #,##0.00_);_(&quot;$&quot;* \(#,##0.00\);_(&quot;$&quot;* &quot;-&quot;??_);_(@_)"/>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numFmt numFmtId="34" formatCode="_(&quot;$&quot;* #,##0.00_);_(&quot;$&quot;* \(#,##0.00\);_(&quot;$&quot;* &quot;-&quot;??_);_(@_)"/>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numFmt numFmtId="34" formatCode="_(&quot;$&quot;* #,##0.00_);_(&quot;$&quot;* \(#,##0.00\);_(&quot;$&quot;* &quot;-&quot;??_);_(@_)"/>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numFmt numFmtId="34" formatCode="_(&quot;$&quot;* #,##0.00_);_(&quot;$&quot;* \(#,##0.00\);_(&quot;$&quot;* &quot;-&quot;??_);_(@_)"/>
    </dxf>
    <dxf>
      <font>
        <b/>
        <i val="0"/>
        <strike val="0"/>
        <condense val="0"/>
        <extend val="0"/>
        <outline val="0"/>
        <shadow val="0"/>
        <u val="none"/>
        <vertAlign val="baseline"/>
        <sz val="10"/>
        <color theme="1"/>
        <name val="ArialMT"/>
        <scheme val="none"/>
      </font>
      <alignment horizontal="center" vertical="bottom" textRotation="0" wrapText="1" indent="0" justifyLastLine="0" shrinkToFit="0" readingOrder="0"/>
      <border diagonalUp="0" diagonalDown="0" outline="0">
        <left/>
        <right/>
        <top/>
        <bottom/>
      </border>
    </dxf>
    <dxf>
      <font>
        <b/>
        <i val="0"/>
        <strike val="0"/>
        <condense val="0"/>
        <extend val="0"/>
        <outline val="0"/>
        <shadow val="0"/>
        <u val="none"/>
        <vertAlign val="baseline"/>
        <sz val="10"/>
        <color theme="1"/>
        <name val="ArialMT"/>
        <scheme val="none"/>
      </font>
      <numFmt numFmtId="0" formatCode="General"/>
      <alignment horizontal="center" vertical="bottom" textRotation="0" wrapText="1" indent="0" justifyLastLine="0" shrinkToFit="0" readingOrder="0"/>
    </dxf>
    <dxf>
      <alignment textRotation="0" wrapText="1" indent="0" justifyLastLine="0" shrinkToFit="0" readingOrder="0"/>
    </dxf>
    <dxf>
      <font>
        <b val="0"/>
        <i val="0"/>
        <strike val="0"/>
        <condense val="0"/>
        <extend val="0"/>
        <outline val="0"/>
        <shadow val="0"/>
        <u val="none"/>
        <vertAlign val="baseline"/>
        <sz val="10"/>
        <color auto="1"/>
        <name val="ArialMT"/>
        <scheme val="none"/>
      </font>
      <alignment textRotation="0" wrapText="1" indent="0" justifyLastLine="0" shrinkToFit="0" readingOrder="0"/>
    </dxf>
    <dxf>
      <font>
        <strike val="0"/>
        <outline val="0"/>
        <shadow val="0"/>
        <u val="none"/>
        <sz val="10"/>
        <color theme="0"/>
        <name val="ArialMT"/>
        <scheme val="none"/>
      </font>
      <fill>
        <patternFill patternType="none">
          <fgColor indexed="64"/>
          <bgColor auto="1"/>
        </patternFill>
      </fill>
      <alignment textRotation="0" wrapText="1" indent="0" justifyLastLine="0" shrinkToFit="0" readingOrder="0"/>
    </dxf>
    <dxf>
      <font>
        <b/>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numFmt numFmtId="35" formatCode="_(* #,##0.00_);_(* \(#,##0.00\);_(* &quot;-&quot;??_);_(@_)"/>
    </dxf>
    <dxf>
      <font>
        <b/>
        <i val="0"/>
        <strike val="0"/>
        <condense val="0"/>
        <extend val="0"/>
        <outline val="0"/>
        <shadow val="0"/>
        <u val="none"/>
        <vertAlign val="baseline"/>
        <sz val="10"/>
        <color theme="1"/>
        <name val="ArialMT"/>
        <scheme val="none"/>
      </font>
      <alignment horizontal="center" vertical="bottom" textRotation="0" wrapText="1" indent="0" justifyLastLine="0" shrinkToFit="0" readingOrder="0"/>
      <border diagonalUp="0" diagonalDown="0" outline="0">
        <left/>
        <right/>
        <top/>
        <bottom/>
      </border>
    </dxf>
    <dxf>
      <font>
        <b/>
        <i val="0"/>
        <strike val="0"/>
        <condense val="0"/>
        <extend val="0"/>
        <outline val="0"/>
        <shadow val="0"/>
        <u val="none"/>
        <vertAlign val="baseline"/>
        <sz val="10"/>
        <color theme="1"/>
        <name val="ArialMT"/>
        <scheme val="none"/>
      </font>
      <numFmt numFmtId="0" formatCode="General"/>
      <alignment horizontal="center" vertical="bottom" textRotation="0" wrapText="1" indent="0" justifyLastLine="0" shrinkToFit="0" readingOrder="0"/>
    </dxf>
    <dxf>
      <alignment textRotation="0" wrapText="1" indent="0" justifyLastLine="0" shrinkToFit="0" readingOrder="0"/>
    </dxf>
    <dxf>
      <font>
        <b val="0"/>
        <i val="0"/>
        <strike val="0"/>
        <condense val="0"/>
        <extend val="0"/>
        <outline val="0"/>
        <shadow val="0"/>
        <u val="none"/>
        <vertAlign val="baseline"/>
        <sz val="10"/>
        <color auto="1"/>
        <name val="ArialMT"/>
        <scheme val="none"/>
      </font>
      <alignment textRotation="0" wrapText="1" indent="0" justifyLastLine="0" shrinkToFit="0" readingOrder="0"/>
    </dxf>
    <dxf>
      <font>
        <strike val="0"/>
        <outline val="0"/>
        <shadow val="0"/>
        <u val="none"/>
        <sz val="10"/>
        <color theme="0"/>
        <name val="ArialMT"/>
        <scheme val="none"/>
      </font>
      <fill>
        <patternFill patternType="none">
          <fgColor indexed="64"/>
          <bgColor auto="1"/>
        </patternFill>
      </fill>
      <alignment textRotation="0" wrapText="1" indent="0" justifyLastLine="0" shrinkToFit="0" readingOrder="0"/>
    </dxf>
    <dxf>
      <font>
        <b/>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numFmt numFmtId="35" formatCode="_(* #,##0.00_);_(* \(#,##0.00\);_(* &quot;-&quot;??_);_(@_)"/>
    </dxf>
    <dxf>
      <font>
        <b val="0"/>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auto="1"/>
        <name val="ArialMT"/>
        <scheme val="none"/>
      </font>
      <alignment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auto="1"/>
        <name val="ArialMT"/>
        <scheme val="none"/>
      </font>
      <alignment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auto="1"/>
        <name val="ArialMT"/>
        <scheme val="none"/>
      </font>
      <alignment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auto="1"/>
        <name val="ArialMT"/>
        <scheme val="none"/>
      </font>
      <alignment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auto="1"/>
        <name val="ArialMT"/>
        <scheme val="none"/>
      </font>
      <alignment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textRotation="0" wrapText="1" indent="0" justifyLastLine="0" shrinkToFit="0" readingOrder="0"/>
    </dxf>
    <dxf>
      <font>
        <b/>
        <i val="0"/>
        <strike val="0"/>
        <condense val="0"/>
        <extend val="0"/>
        <outline val="0"/>
        <shadow val="0"/>
        <u val="none"/>
        <vertAlign val="baseline"/>
        <sz val="10"/>
        <color theme="1"/>
        <name val="ArialMT"/>
        <scheme val="none"/>
      </font>
      <alignment horizontal="center" vertical="bottom" textRotation="0" wrapText="1" indent="0" justifyLastLine="0" shrinkToFit="0" readingOrder="0"/>
    </dxf>
    <dxf>
      <font>
        <b/>
        <i val="0"/>
        <strike val="0"/>
        <condense val="0"/>
        <extend val="0"/>
        <outline val="0"/>
        <shadow val="0"/>
        <u val="none"/>
        <vertAlign val="baseline"/>
        <sz val="10"/>
        <color theme="1"/>
        <name val="ArialMT"/>
        <scheme val="none"/>
      </font>
      <numFmt numFmtId="0" formatCode="General"/>
      <alignment horizontal="center" vertical="bottom" textRotation="0" wrapText="1" indent="0" justifyLastLine="0" shrinkToFit="0" readingOrder="0"/>
    </dxf>
    <dxf>
      <alignment textRotation="0" wrapText="1" indent="0" justifyLastLine="0" shrinkToFit="0" readingOrder="0"/>
    </dxf>
    <dxf>
      <font>
        <b val="0"/>
        <i val="0"/>
        <strike val="0"/>
        <condense val="0"/>
        <extend val="0"/>
        <outline val="0"/>
        <shadow val="0"/>
        <u val="none"/>
        <vertAlign val="baseline"/>
        <sz val="10"/>
        <color auto="1"/>
        <name val="ArialMT"/>
        <scheme val="none"/>
      </font>
      <alignment textRotation="0" wrapText="1" indent="0" justifyLastLine="0" shrinkToFit="0" readingOrder="0"/>
    </dxf>
    <dxf>
      <font>
        <strike val="0"/>
        <outline val="0"/>
        <shadow val="0"/>
        <u val="none"/>
        <sz val="10"/>
        <color theme="0"/>
        <name val="ArialMT"/>
        <scheme val="none"/>
      </font>
      <fill>
        <patternFill patternType="none">
          <fgColor indexed="64"/>
          <bgColor auto="1"/>
        </patternFill>
      </fill>
      <alignment textRotation="0" wrapText="1" indent="0" justifyLastLine="0" shrinkToFit="0" readingOrder="0"/>
    </dxf>
    <dxf>
      <font>
        <b/>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auto="1"/>
        <name val="ArialMT"/>
        <scheme val="none"/>
      </font>
      <numFmt numFmtId="34" formatCode="_(&quot;$&quot;* #,##0.00_);_(&quot;$&quot;* \(#,##0.00\);_(&quot;$&quot;* &quot;-&quot;??_);_(@_)"/>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auto="1"/>
        <name val="ArialMT"/>
        <scheme val="none"/>
      </font>
      <numFmt numFmtId="34" formatCode="_(&quot;$&quot;* #,##0.00_);_(&quot;$&quot;* \(#,##0.00\);_(&quot;$&quot;* &quot;-&quot;??_);_(@_)"/>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auto="1"/>
        <name val="ArialMT"/>
        <scheme val="none"/>
      </font>
      <numFmt numFmtId="34" formatCode="_(&quot;$&quot;* #,##0.00_);_(&quot;$&quot;* \(#,##0.00\);_(&quot;$&quot;* &quot;-&quot;??_);_(@_)"/>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auto="1"/>
        <name val="ArialMT"/>
        <scheme val="none"/>
      </font>
      <numFmt numFmtId="34" formatCode="_(&quot;$&quot;* #,##0.00_);_(&quot;$&quot;* \(#,##0.00\);_(&quot;$&quot;* &quot;-&quot;??_);_(@_)"/>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auto="1"/>
        <name val="ArialMT"/>
        <scheme val="none"/>
      </font>
      <numFmt numFmtId="34" formatCode="_(&quot;$&quot;* #,##0.00_);_(&quot;$&quot;* \(#,##0.00\);_(&quot;$&quot;* &quot;-&quot;??_);_(@_)"/>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bottom" textRotation="0" wrapText="1" indent="0" justifyLastLine="0" shrinkToFit="0" readingOrder="0"/>
    </dxf>
    <dxf>
      <font>
        <b/>
        <i val="0"/>
        <strike val="0"/>
        <condense val="0"/>
        <extend val="0"/>
        <outline val="0"/>
        <shadow val="0"/>
        <u val="none"/>
        <vertAlign val="baseline"/>
        <sz val="10"/>
        <color theme="1"/>
        <name val="ArialMT"/>
        <scheme val="none"/>
      </font>
      <alignment horizontal="center" vertical="bottom" textRotation="0" wrapText="1" indent="0" justifyLastLine="0" shrinkToFit="0" readingOrder="0"/>
    </dxf>
    <dxf>
      <font>
        <b/>
        <i val="0"/>
        <strike val="0"/>
        <condense val="0"/>
        <extend val="0"/>
        <outline val="0"/>
        <shadow val="0"/>
        <u val="none"/>
        <vertAlign val="baseline"/>
        <sz val="10"/>
        <color theme="1"/>
        <name val="ArialMT"/>
        <scheme val="none"/>
      </font>
      <numFmt numFmtId="0" formatCode="General"/>
      <alignment horizontal="center" vertical="bottom" textRotation="0" wrapText="1" indent="0" justifyLastLine="0" shrinkToFit="0" readingOrder="0"/>
    </dxf>
    <dxf>
      <alignment textRotation="0" wrapText="1" indent="0" justifyLastLine="0" shrinkToFit="0" readingOrder="0"/>
    </dxf>
    <dxf>
      <font>
        <b val="0"/>
        <i val="0"/>
        <strike val="0"/>
        <condense val="0"/>
        <extend val="0"/>
        <outline val="0"/>
        <shadow val="0"/>
        <u val="none"/>
        <vertAlign val="baseline"/>
        <sz val="10"/>
        <color auto="1"/>
        <name val="ArialMT"/>
        <scheme val="none"/>
      </font>
      <alignment textRotation="0" wrapText="1" indent="0" justifyLastLine="0" shrinkToFit="0" readingOrder="0"/>
    </dxf>
    <dxf>
      <font>
        <strike val="0"/>
        <outline val="0"/>
        <shadow val="0"/>
        <u val="none"/>
        <sz val="10"/>
        <color theme="0"/>
        <name val="ArialMT"/>
        <scheme val="none"/>
      </font>
      <fill>
        <patternFill patternType="none">
          <fgColor indexed="64"/>
          <bgColor auto="1"/>
        </patternFill>
      </fill>
      <alignment textRotation="0" wrapText="1" indent="0" justifyLastLine="0" shrinkToFit="0" readingOrder="0"/>
    </dxf>
    <dxf>
      <font>
        <b/>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auto="1"/>
        <name val="ArialMT"/>
        <scheme val="none"/>
      </font>
      <numFmt numFmtId="34" formatCode="_(&quot;$&quot;* #,##0.00_);_(&quot;$&quot;* \(#,##0.00\);_(&quot;$&quot;* &quot;-&quot;??_);_(@_)"/>
      <alignment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auto="1"/>
        <name val="ArialMT"/>
        <scheme val="none"/>
      </font>
      <numFmt numFmtId="34" formatCode="_(&quot;$&quot;* #,##0.00_);_(&quot;$&quot;* \(#,##0.00\);_(&quot;$&quot;* &quot;-&quot;??_);_(@_)"/>
      <alignment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auto="1"/>
        <name val="ArialMT"/>
        <scheme val="none"/>
      </font>
      <numFmt numFmtId="34" formatCode="_(&quot;$&quot;* #,##0.00_);_(&quot;$&quot;* \(#,##0.00\);_(&quot;$&quot;* &quot;-&quot;??_);_(@_)"/>
      <alignment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auto="1"/>
        <name val="ArialMT"/>
        <scheme val="none"/>
      </font>
      <numFmt numFmtId="34" formatCode="_(&quot;$&quot;* #,##0.00_);_(&quot;$&quot;* \(#,##0.00\);_(&quot;$&quot;* &quot;-&quot;??_);_(@_)"/>
      <alignment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auto="1"/>
        <name val="ArialMT"/>
        <scheme val="none"/>
      </font>
      <numFmt numFmtId="34" formatCode="_(&quot;$&quot;* #,##0.00_);_(&quot;$&quot;* \(#,##0.00\);_(&quot;$&quot;* &quot;-&quot;??_);_(@_)"/>
      <alignment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auto="1"/>
        </patternFill>
      </fill>
      <alignment textRotation="0" wrapText="1" indent="0" justifyLastLine="0" shrinkToFit="0" readingOrder="0"/>
    </dxf>
    <dxf>
      <font>
        <b/>
        <i val="0"/>
        <strike val="0"/>
        <condense val="0"/>
        <extend val="0"/>
        <outline val="0"/>
        <shadow val="0"/>
        <u val="none"/>
        <vertAlign val="baseline"/>
        <sz val="10"/>
        <color theme="1"/>
        <name val="ArialMT"/>
        <scheme val="none"/>
      </font>
      <alignment horizontal="center" vertical="bottom" textRotation="0" wrapText="1" indent="0" justifyLastLine="0" shrinkToFit="0" readingOrder="0"/>
      <border diagonalUp="0" diagonalDown="0" outline="0">
        <left/>
        <right/>
        <top/>
        <bottom/>
      </border>
    </dxf>
    <dxf>
      <font>
        <b/>
        <i val="0"/>
        <strike val="0"/>
        <condense val="0"/>
        <extend val="0"/>
        <outline val="0"/>
        <shadow val="0"/>
        <u val="none"/>
        <vertAlign val="baseline"/>
        <sz val="10"/>
        <color theme="1"/>
        <name val="ArialMT"/>
        <scheme val="none"/>
      </font>
      <numFmt numFmtId="0" formatCode="General"/>
      <alignment horizontal="center" vertical="bottom" textRotation="0" wrapText="1" indent="0" justifyLastLine="0" shrinkToFit="0" readingOrder="0"/>
    </dxf>
    <dxf>
      <alignment textRotation="0" wrapText="1" indent="0" justifyLastLine="0" shrinkToFit="0" readingOrder="0"/>
    </dxf>
    <dxf>
      <font>
        <b val="0"/>
        <i val="0"/>
        <strike val="0"/>
        <condense val="0"/>
        <extend val="0"/>
        <outline val="0"/>
        <shadow val="0"/>
        <u val="none"/>
        <vertAlign val="baseline"/>
        <sz val="10"/>
        <color auto="1"/>
        <name val="ArialMT"/>
        <scheme val="none"/>
      </font>
      <alignment textRotation="0" wrapText="1" indent="0" justifyLastLine="0" shrinkToFit="0" readingOrder="0"/>
    </dxf>
    <dxf>
      <font>
        <strike val="0"/>
        <outline val="0"/>
        <shadow val="0"/>
        <u val="none"/>
        <sz val="10"/>
        <color theme="0"/>
        <name val="ArialMT"/>
        <scheme val="none"/>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textRotation="0" wrapText="0"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textRotation="0" wrapText="0"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textRotation="0" wrapText="0"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textRotation="0" wrapText="0"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textRotation="0" wrapText="0"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textRotation="0" wrapText="0"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textRotation="0" wrapText="0"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textRotation="0" wrapText="0" indent="0" justifyLastLine="0" shrinkToFit="0" readingOrder="0"/>
    </dxf>
    <dxf>
      <font>
        <b/>
        <i val="0"/>
        <strike val="0"/>
        <condense val="0"/>
        <extend val="0"/>
        <outline val="0"/>
        <shadow val="0"/>
        <u val="none"/>
        <vertAlign val="baseline"/>
        <sz val="10"/>
        <color theme="1"/>
        <name val="ArialMT"/>
        <scheme val="none"/>
      </font>
      <numFmt numFmtId="34" formatCode="_(&quot;$&quot;* #,##0.00_);_(&quot;$&quot;* \(#,##0.00\);_(&quot;$&quot;* &quot;-&quot;??_);_(@_)"/>
      <alignment horizontal="general" vertical="center" textRotation="0" wrapText="1" indent="0" justifyLastLine="0" shrinkToFit="0" readingOrder="0"/>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4" formatCode="_(&quot;$&quot;* #,##0.00_);_(&quot;$&quot;* \(#,##0.00\);_(&quot;$&quot;*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bottom" textRotation="0" wrapText="0" indent="0" justifyLastLine="0" shrinkToFit="0" readingOrder="0"/>
    </dxf>
    <dxf>
      <font>
        <b/>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i val="0"/>
        <strike val="0"/>
        <condense val="0"/>
        <extend val="0"/>
        <outline val="0"/>
        <shadow val="0"/>
        <u val="none"/>
        <vertAlign val="baseline"/>
        <sz val="10"/>
        <color theme="1"/>
        <name val="ArialMT"/>
        <scheme val="none"/>
      </font>
      <numFmt numFmtId="35" formatCode="_(* #,##0.00_);_(* \(#,##0.00\);_(* &quot;-&quot;??_);_(@_)"/>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bottom" textRotation="0" wrapText="0" indent="0" justifyLastLine="0" shrinkToFit="0" readingOrder="0"/>
    </dxf>
    <dxf>
      <font>
        <b/>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numFmt numFmtId="34" formatCode="_(&quot;$&quot;* #,##0.00_);_(&quot;$&quot;* \(#,##0.00\);_(&quot;$&quot;* &quot;-&quot;??_);_(@_)"/>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numFmt numFmtId="34" formatCode="_(&quot;$&quot;* #,##0.00_);_(&quot;$&quot;* \(#,##0.00\);_(&quot;$&quot;* &quot;-&quot;??_);_(@_)"/>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numFmt numFmtId="34" formatCode="_(&quot;$&quot;* #,##0.00_);_(&quot;$&quot;* \(#,##0.00\);_(&quot;$&quot;* &quot;-&quot;??_);_(@_)"/>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numFmt numFmtId="34" formatCode="_(&quot;$&quot;* #,##0.00_);_(&quot;$&quot;* \(#,##0.00\);_(&quot;$&quot;* &quot;-&quot;??_);_(@_)"/>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numFmt numFmtId="34" formatCode="_(&quot;$&quot;* #,##0.00_);_(&quot;$&quot;* \(#,##0.00\);_(&quot;$&quot;* &quot;-&quot;??_);_(@_)"/>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numFmt numFmtId="34" formatCode="_(&quot;$&quot;* #,##0.00_);_(&quot;$&quot;* \(#,##0.00\);_(&quot;$&quot;* &quot;-&quot;??_);_(@_)"/>
    </dxf>
    <dxf>
      <font>
        <b/>
        <i val="0"/>
        <strike val="0"/>
        <condense val="0"/>
        <extend val="0"/>
        <outline val="0"/>
        <shadow val="0"/>
        <u val="none"/>
        <vertAlign val="baseline"/>
        <sz val="10"/>
        <color theme="1"/>
        <name val="ArialMT"/>
        <scheme val="none"/>
      </font>
      <alignment horizontal="center" vertical="bottom" textRotation="0" wrapText="1" indent="0" justifyLastLine="0" shrinkToFit="0" readingOrder="0"/>
      <border diagonalUp="0" diagonalDown="0" outline="0">
        <left/>
        <right/>
        <top/>
        <bottom/>
      </border>
    </dxf>
    <dxf>
      <font>
        <b/>
        <i val="0"/>
        <strike val="0"/>
        <condense val="0"/>
        <extend val="0"/>
        <outline val="0"/>
        <shadow val="0"/>
        <u val="none"/>
        <vertAlign val="baseline"/>
        <sz val="10"/>
        <color theme="1"/>
        <name val="ArialMT"/>
        <scheme val="none"/>
      </font>
      <numFmt numFmtId="0" formatCode="General"/>
      <alignment horizontal="center" vertical="bottom" textRotation="0" wrapText="1" indent="0" justifyLastLine="0" shrinkToFit="0" readingOrder="0"/>
    </dxf>
    <dxf>
      <alignment textRotation="0" wrapText="1" indent="0" justifyLastLine="0" shrinkToFit="0" readingOrder="0"/>
    </dxf>
    <dxf>
      <font>
        <b val="0"/>
        <i val="0"/>
        <strike val="0"/>
        <condense val="0"/>
        <extend val="0"/>
        <outline val="0"/>
        <shadow val="0"/>
        <u val="none"/>
        <vertAlign val="baseline"/>
        <sz val="10"/>
        <color auto="1"/>
        <name val="ArialMT"/>
        <scheme val="none"/>
      </font>
      <alignment textRotation="0" wrapText="1" indent="0" justifyLastLine="0" shrinkToFit="0" readingOrder="0"/>
    </dxf>
    <dxf>
      <font>
        <strike val="0"/>
        <outline val="0"/>
        <shadow val="0"/>
        <u val="none"/>
        <sz val="10"/>
        <color theme="0"/>
        <name val="ArialMT"/>
        <scheme val="none"/>
      </font>
      <fill>
        <patternFill patternType="none">
          <fgColor indexed="64"/>
          <bgColor auto="1"/>
        </patternFill>
      </fill>
      <alignment textRotation="0" wrapText="1" indent="0" justifyLastLine="0" shrinkToFit="0" readingOrder="0"/>
    </dxf>
    <dxf>
      <font>
        <b/>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numFmt numFmtId="35" formatCode="_(* #,##0.00_);_(* \(#,##0.00\);_(* &quot;-&quot;??_);_(@_)"/>
    </dxf>
    <dxf>
      <font>
        <b/>
        <i val="0"/>
        <strike val="0"/>
        <condense val="0"/>
        <extend val="0"/>
        <outline val="0"/>
        <shadow val="0"/>
        <u val="none"/>
        <vertAlign val="baseline"/>
        <sz val="10"/>
        <color theme="1"/>
        <name val="ArialMT"/>
        <scheme val="none"/>
      </font>
      <alignment horizontal="center" vertical="bottom" textRotation="0" wrapText="1" indent="0" justifyLastLine="0" shrinkToFit="0" readingOrder="0"/>
      <border diagonalUp="0" diagonalDown="0" outline="0">
        <left/>
        <right/>
        <top/>
        <bottom/>
      </border>
    </dxf>
    <dxf>
      <font>
        <b/>
        <i val="0"/>
        <strike val="0"/>
        <condense val="0"/>
        <extend val="0"/>
        <outline val="0"/>
        <shadow val="0"/>
        <u val="none"/>
        <vertAlign val="baseline"/>
        <sz val="10"/>
        <color theme="1"/>
        <name val="ArialMT"/>
        <scheme val="none"/>
      </font>
      <numFmt numFmtId="0" formatCode="General"/>
      <alignment horizontal="center" vertical="bottom" textRotation="0" wrapText="1" indent="0" justifyLastLine="0" shrinkToFit="0" readingOrder="0"/>
    </dxf>
    <dxf>
      <alignment textRotation="0" wrapText="1" indent="0" justifyLastLine="0" shrinkToFit="0" readingOrder="0"/>
    </dxf>
    <dxf>
      <font>
        <b val="0"/>
        <i val="0"/>
        <strike val="0"/>
        <condense val="0"/>
        <extend val="0"/>
        <outline val="0"/>
        <shadow val="0"/>
        <u val="none"/>
        <vertAlign val="baseline"/>
        <sz val="10"/>
        <color auto="1"/>
        <name val="ArialMT"/>
        <scheme val="none"/>
      </font>
      <alignment textRotation="0" wrapText="1" indent="0" justifyLastLine="0" shrinkToFit="0" readingOrder="0"/>
    </dxf>
    <dxf>
      <font>
        <strike val="0"/>
        <outline val="0"/>
        <shadow val="0"/>
        <u val="none"/>
        <sz val="10"/>
        <color theme="0"/>
        <name val="ArialMT"/>
        <scheme val="none"/>
      </font>
      <fill>
        <patternFill patternType="none">
          <fgColor indexed="64"/>
          <bgColor auto="1"/>
        </patternFill>
      </fill>
      <alignment textRotation="0" wrapText="1" indent="0" justifyLastLine="0" shrinkToFit="0" readingOrder="0"/>
    </dxf>
    <dxf>
      <font>
        <b/>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numFmt numFmtId="35" formatCode="_(* #,##0.00_);_(* \(#,##0.00\);_(* &quot;-&quot;??_);_(@_)"/>
    </dxf>
    <dxf>
      <font>
        <b val="0"/>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auto="1"/>
        <name val="ArialMT"/>
        <scheme val="none"/>
      </font>
      <alignment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auto="1"/>
        <name val="ArialMT"/>
        <scheme val="none"/>
      </font>
      <alignment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auto="1"/>
        <name val="ArialMT"/>
        <scheme val="none"/>
      </font>
      <alignment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auto="1"/>
        <name val="ArialMT"/>
        <scheme val="none"/>
      </font>
      <alignment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auto="1"/>
        <name val="ArialMT"/>
        <scheme val="none"/>
      </font>
      <alignment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textRotation="0" wrapText="1" indent="0" justifyLastLine="0" shrinkToFit="0" readingOrder="0"/>
    </dxf>
    <dxf>
      <font>
        <b/>
        <i val="0"/>
        <strike val="0"/>
        <condense val="0"/>
        <extend val="0"/>
        <outline val="0"/>
        <shadow val="0"/>
        <u val="none"/>
        <vertAlign val="baseline"/>
        <sz val="10"/>
        <color theme="1"/>
        <name val="ArialMT"/>
        <scheme val="none"/>
      </font>
      <alignment horizontal="center" vertical="bottom" textRotation="0" wrapText="1" indent="0" justifyLastLine="0" shrinkToFit="0" readingOrder="0"/>
    </dxf>
    <dxf>
      <font>
        <b/>
        <i val="0"/>
        <strike val="0"/>
        <condense val="0"/>
        <extend val="0"/>
        <outline val="0"/>
        <shadow val="0"/>
        <u val="none"/>
        <vertAlign val="baseline"/>
        <sz val="10"/>
        <color theme="1"/>
        <name val="ArialMT"/>
        <scheme val="none"/>
      </font>
      <numFmt numFmtId="0" formatCode="General"/>
      <alignment horizontal="center" vertical="bottom" textRotation="0" wrapText="1" indent="0" justifyLastLine="0" shrinkToFit="0" readingOrder="0"/>
    </dxf>
    <dxf>
      <alignment textRotation="0" wrapText="1" indent="0" justifyLastLine="0" shrinkToFit="0" readingOrder="0"/>
    </dxf>
    <dxf>
      <font>
        <b val="0"/>
        <i val="0"/>
        <strike val="0"/>
        <condense val="0"/>
        <extend val="0"/>
        <outline val="0"/>
        <shadow val="0"/>
        <u val="none"/>
        <vertAlign val="baseline"/>
        <sz val="10"/>
        <color auto="1"/>
        <name val="ArialMT"/>
        <scheme val="none"/>
      </font>
      <alignment textRotation="0" wrapText="1" indent="0" justifyLastLine="0" shrinkToFit="0" readingOrder="0"/>
    </dxf>
    <dxf>
      <font>
        <strike val="0"/>
        <outline val="0"/>
        <shadow val="0"/>
        <u val="none"/>
        <sz val="10"/>
        <color theme="0"/>
        <name val="ArialMT"/>
        <scheme val="none"/>
      </font>
      <fill>
        <patternFill patternType="none">
          <fgColor indexed="64"/>
          <bgColor auto="1"/>
        </patternFill>
      </fill>
      <alignment textRotation="0" wrapText="1" indent="0" justifyLastLine="0" shrinkToFit="0" readingOrder="0"/>
    </dxf>
    <dxf>
      <font>
        <b/>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auto="1"/>
        <name val="ArialMT"/>
        <scheme val="none"/>
      </font>
      <numFmt numFmtId="34" formatCode="_(&quot;$&quot;* #,##0.00_);_(&quot;$&quot;* \(#,##0.00\);_(&quot;$&quot;* &quot;-&quot;??_);_(@_)"/>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auto="1"/>
        <name val="ArialMT"/>
        <scheme val="none"/>
      </font>
      <numFmt numFmtId="34" formatCode="_(&quot;$&quot;* #,##0.00_);_(&quot;$&quot;* \(#,##0.00\);_(&quot;$&quot;* &quot;-&quot;??_);_(@_)"/>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auto="1"/>
        <name val="ArialMT"/>
        <scheme val="none"/>
      </font>
      <numFmt numFmtId="34" formatCode="_(&quot;$&quot;* #,##0.00_);_(&quot;$&quot;* \(#,##0.00\);_(&quot;$&quot;* &quot;-&quot;??_);_(@_)"/>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auto="1"/>
        <name val="ArialMT"/>
        <scheme val="none"/>
      </font>
      <numFmt numFmtId="34" formatCode="_(&quot;$&quot;* #,##0.00_);_(&quot;$&quot;* \(#,##0.00\);_(&quot;$&quot;* &quot;-&quot;??_);_(@_)"/>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auto="1"/>
        <name val="ArialMT"/>
        <scheme val="none"/>
      </font>
      <numFmt numFmtId="34" formatCode="_(&quot;$&quot;* #,##0.00_);_(&quot;$&quot;* \(#,##0.00\);_(&quot;$&quot;* &quot;-&quot;??_);_(@_)"/>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bottom"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bottom" textRotation="0" wrapText="1" indent="0" justifyLastLine="0" shrinkToFit="0" readingOrder="0"/>
    </dxf>
    <dxf>
      <font>
        <b/>
        <i val="0"/>
        <strike val="0"/>
        <condense val="0"/>
        <extend val="0"/>
        <outline val="0"/>
        <shadow val="0"/>
        <u val="none"/>
        <vertAlign val="baseline"/>
        <sz val="10"/>
        <color theme="1"/>
        <name val="ArialMT"/>
        <scheme val="none"/>
      </font>
      <alignment horizontal="center" vertical="bottom" textRotation="0" wrapText="1" indent="0" justifyLastLine="0" shrinkToFit="0" readingOrder="0"/>
    </dxf>
    <dxf>
      <font>
        <b/>
        <i val="0"/>
        <strike val="0"/>
        <condense val="0"/>
        <extend val="0"/>
        <outline val="0"/>
        <shadow val="0"/>
        <u val="none"/>
        <vertAlign val="baseline"/>
        <sz val="10"/>
        <color theme="1"/>
        <name val="ArialMT"/>
        <scheme val="none"/>
      </font>
      <numFmt numFmtId="0" formatCode="General"/>
      <alignment horizontal="center" vertical="bottom" textRotation="0" wrapText="1" indent="0" justifyLastLine="0" shrinkToFit="0" readingOrder="0"/>
    </dxf>
    <dxf>
      <alignment textRotation="0" wrapText="1" indent="0" justifyLastLine="0" shrinkToFit="0" readingOrder="0"/>
    </dxf>
    <dxf>
      <font>
        <b val="0"/>
        <i val="0"/>
        <strike val="0"/>
        <condense val="0"/>
        <extend val="0"/>
        <outline val="0"/>
        <shadow val="0"/>
        <u val="none"/>
        <vertAlign val="baseline"/>
        <sz val="10"/>
        <color auto="1"/>
        <name val="ArialMT"/>
        <scheme val="none"/>
      </font>
      <alignment textRotation="0" wrapText="1" indent="0" justifyLastLine="0" shrinkToFit="0" readingOrder="0"/>
    </dxf>
    <dxf>
      <font>
        <strike val="0"/>
        <outline val="0"/>
        <shadow val="0"/>
        <u val="none"/>
        <sz val="10"/>
        <color theme="0"/>
        <name val="ArialMT"/>
        <scheme val="none"/>
      </font>
      <fill>
        <patternFill patternType="none">
          <fgColor indexed="64"/>
          <bgColor auto="1"/>
        </patternFill>
      </fill>
      <alignment textRotation="0" wrapText="1" indent="0" justifyLastLine="0" shrinkToFit="0" readingOrder="0"/>
    </dxf>
    <dxf>
      <font>
        <b/>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auto="1"/>
        <name val="ArialMT"/>
        <scheme val="none"/>
      </font>
      <numFmt numFmtId="34" formatCode="_(&quot;$&quot;* #,##0.00_);_(&quot;$&quot;* \(#,##0.00\);_(&quot;$&quot;* &quot;-&quot;??_);_(@_)"/>
      <alignment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auto="1"/>
        <name val="ArialMT"/>
        <scheme val="none"/>
      </font>
      <numFmt numFmtId="34" formatCode="_(&quot;$&quot;* #,##0.00_);_(&quot;$&quot;* \(#,##0.00\);_(&quot;$&quot;* &quot;-&quot;??_);_(@_)"/>
      <alignment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auto="1"/>
        <name val="ArialMT"/>
        <scheme val="none"/>
      </font>
      <numFmt numFmtId="34" formatCode="_(&quot;$&quot;* #,##0.00_);_(&quot;$&quot;* \(#,##0.00\);_(&quot;$&quot;* &quot;-&quot;??_);_(@_)"/>
      <alignment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auto="1"/>
        <name val="ArialMT"/>
        <scheme val="none"/>
      </font>
      <numFmt numFmtId="34" formatCode="_(&quot;$&quot;* #,##0.00_);_(&quot;$&quot;* \(#,##0.00\);_(&quot;$&quot;* &quot;-&quot;??_);_(@_)"/>
      <alignment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auto="1"/>
        <name val="ArialMT"/>
        <scheme val="none"/>
      </font>
      <numFmt numFmtId="34" formatCode="_(&quot;$&quot;* #,##0.00_);_(&quot;$&quot;* \(#,##0.00\);_(&quot;$&quot;* &quot;-&quot;??_);_(@_)"/>
      <alignment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auto="1"/>
        </patternFill>
      </fill>
      <alignment textRotation="0" wrapText="1" indent="0" justifyLastLine="0" shrinkToFit="0" readingOrder="0"/>
    </dxf>
    <dxf>
      <font>
        <b/>
        <i val="0"/>
        <strike val="0"/>
        <condense val="0"/>
        <extend val="0"/>
        <outline val="0"/>
        <shadow val="0"/>
        <u val="none"/>
        <vertAlign val="baseline"/>
        <sz val="10"/>
        <color theme="1"/>
        <name val="ArialMT"/>
        <scheme val="none"/>
      </font>
      <alignment horizontal="center" vertical="bottom" textRotation="0" wrapText="1" indent="0" justifyLastLine="0" shrinkToFit="0" readingOrder="0"/>
      <border diagonalUp="0" diagonalDown="0" outline="0">
        <left/>
        <right/>
        <top/>
        <bottom/>
      </border>
    </dxf>
    <dxf>
      <font>
        <b/>
        <i val="0"/>
        <strike val="0"/>
        <condense val="0"/>
        <extend val="0"/>
        <outline val="0"/>
        <shadow val="0"/>
        <u val="none"/>
        <vertAlign val="baseline"/>
        <sz val="10"/>
        <color theme="1"/>
        <name val="ArialMT"/>
        <scheme val="none"/>
      </font>
      <numFmt numFmtId="0" formatCode="General"/>
      <alignment horizontal="center" vertical="bottom" textRotation="0" wrapText="1" indent="0" justifyLastLine="0" shrinkToFit="0" readingOrder="0"/>
    </dxf>
    <dxf>
      <alignment textRotation="0" wrapText="1" indent="0" justifyLastLine="0" shrinkToFit="0" readingOrder="0"/>
    </dxf>
    <dxf>
      <font>
        <b val="0"/>
        <i val="0"/>
        <strike val="0"/>
        <condense val="0"/>
        <extend val="0"/>
        <outline val="0"/>
        <shadow val="0"/>
        <u val="none"/>
        <vertAlign val="baseline"/>
        <sz val="10"/>
        <color auto="1"/>
        <name val="ArialMT"/>
        <scheme val="none"/>
      </font>
      <alignment textRotation="0" wrapText="1" indent="0" justifyLastLine="0" shrinkToFit="0" readingOrder="0"/>
    </dxf>
    <dxf>
      <font>
        <strike val="0"/>
        <outline val="0"/>
        <shadow val="0"/>
        <u val="none"/>
        <sz val="10"/>
        <color theme="0"/>
        <name val="ArialMT"/>
        <scheme val="none"/>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textRotation="0" wrapText="0"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textRotation="0" wrapText="0"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textRotation="0" wrapText="0"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textRotation="0" wrapText="0"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textRotation="0" wrapText="0"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textRotation="0" wrapText="0"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textRotation="0" wrapText="0"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textRotation="0" wrapText="0" indent="0" justifyLastLine="0" shrinkToFit="0" readingOrder="0"/>
    </dxf>
    <dxf>
      <font>
        <b/>
        <i val="0"/>
        <strike val="0"/>
        <condense val="0"/>
        <extend val="0"/>
        <outline val="0"/>
        <shadow val="0"/>
        <u val="none"/>
        <vertAlign val="baseline"/>
        <sz val="10"/>
        <color theme="1"/>
        <name val="ArialMT"/>
        <scheme val="none"/>
      </font>
      <numFmt numFmtId="34" formatCode="_(&quot;$&quot;* #,##0.00_);_(&quot;$&quot;* \(#,##0.00\);_(&quot;$&quot;* &quot;-&quot;??_);_(@_)"/>
      <alignment horizontal="general" vertical="center" textRotation="0" wrapText="1" indent="0" justifyLastLine="0" shrinkToFit="0" readingOrder="0"/>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4" formatCode="_(&quot;$&quot;* #,##0.00_);_(&quot;$&quot;* \(#,##0.00\);_(&quot;$&quot;*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bottom" textRotation="0" wrapText="0" indent="0" justifyLastLine="0" shrinkToFit="0" readingOrder="0"/>
    </dxf>
    <dxf>
      <font>
        <b/>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i val="0"/>
        <strike val="0"/>
        <condense val="0"/>
        <extend val="0"/>
        <outline val="0"/>
        <shadow val="0"/>
        <u val="none"/>
        <vertAlign val="baseline"/>
        <sz val="10"/>
        <color theme="1"/>
        <name val="ArialMT"/>
        <scheme val="none"/>
      </font>
      <numFmt numFmtId="35" formatCode="_(* #,##0.00_);_(* \(#,##0.00\);_(* &quot;-&quot;??_);_(@_)"/>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ArialMT"/>
        <scheme val="none"/>
      </font>
      <numFmt numFmtId="34" formatCode="_(&quot;$&quot;* #,##0.00_);_(&quot;$&quot;* \(#,##0.00\);_(&quot;$&quot;* &quot;-&quot;??_);_(@_)"/>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auto="1"/>
        </patternFill>
      </fill>
    </dxf>
    <dxf>
      <font>
        <b val="0"/>
        <i val="0"/>
        <strike val="0"/>
        <condense val="0"/>
        <extend val="0"/>
        <outline val="0"/>
        <shadow val="0"/>
        <u val="none"/>
        <vertAlign val="baseline"/>
        <sz val="10"/>
        <color theme="1"/>
        <name val="ArialMT"/>
        <scheme val="none"/>
      </font>
      <numFmt numFmtId="34" formatCode="_(&quot;$&quot;* #,##0.00_);_(&quot;$&quot;* \(#,##0.00\);_(&quot;$&quot;* &quot;-&quot;??_);_(@_)"/>
    </dxf>
    <dxf>
      <font>
        <b val="0"/>
        <i val="0"/>
        <strike val="0"/>
        <condense val="0"/>
        <extend val="0"/>
        <outline val="0"/>
        <shadow val="0"/>
        <u val="none"/>
        <vertAlign val="baseline"/>
        <sz val="10"/>
        <color theme="1"/>
        <name val="ArialMT"/>
        <scheme val="none"/>
      </font>
      <fill>
        <patternFill patternType="none">
          <fgColor indexed="64"/>
          <bgColor auto="1"/>
        </patternFill>
      </fill>
    </dxf>
    <dxf>
      <font>
        <b val="0"/>
        <i val="0"/>
        <strike val="0"/>
        <condense val="0"/>
        <extend val="0"/>
        <outline val="0"/>
        <shadow val="0"/>
        <u val="none"/>
        <vertAlign val="baseline"/>
        <sz val="10"/>
        <color theme="1"/>
        <name val="ArialMT"/>
        <scheme val="none"/>
      </font>
      <numFmt numFmtId="4" formatCode="#,##0.00"/>
    </dxf>
    <dxf>
      <font>
        <b val="0"/>
        <i val="0"/>
        <strike val="0"/>
        <condense val="0"/>
        <extend val="0"/>
        <outline val="0"/>
        <shadow val="0"/>
        <u val="none"/>
        <vertAlign val="baseline"/>
        <sz val="10"/>
        <color theme="1"/>
        <name val="ArialMT"/>
        <scheme val="none"/>
      </font>
      <fill>
        <patternFill patternType="none">
          <fgColor indexed="64"/>
          <bgColor auto="1"/>
        </patternFill>
      </fill>
    </dxf>
    <dxf>
      <font>
        <b val="0"/>
        <i val="0"/>
        <strike val="0"/>
        <condense val="0"/>
        <extend val="0"/>
        <outline val="0"/>
        <shadow val="0"/>
        <u val="none"/>
        <vertAlign val="baseline"/>
        <sz val="10"/>
        <color theme="1"/>
        <name val="ArialMT"/>
        <scheme val="none"/>
      </font>
      <numFmt numFmtId="3" formatCode="#,##0"/>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auto="1"/>
        </patternFill>
      </fill>
    </dxf>
    <dxf>
      <font>
        <b val="0"/>
        <i val="0"/>
        <strike val="0"/>
        <condense val="0"/>
        <extend val="0"/>
        <outline val="0"/>
        <shadow val="0"/>
        <u val="none"/>
        <vertAlign val="baseline"/>
        <sz val="10"/>
        <color theme="1"/>
        <name val="ArialMT"/>
        <scheme val="none"/>
      </font>
      <numFmt numFmtId="3" formatCode="#,##0"/>
    </dxf>
    <dxf>
      <numFmt numFmtId="35" formatCode="_(* #,##0.00_);_(* \(#,##0.00\);_(* &quot;-&quot;??_);_(@_)"/>
      <alignment horizontal="right" vertical="bottom" textRotation="0" wrapText="0" indent="0" justifyLastLine="0" shrinkToFit="0" readingOrder="0"/>
    </dxf>
    <dxf>
      <font>
        <b val="0"/>
        <i val="0"/>
        <strike val="0"/>
        <condense val="0"/>
        <extend val="0"/>
        <outline val="0"/>
        <shadow val="0"/>
        <u val="none"/>
        <vertAlign val="baseline"/>
        <sz val="10"/>
        <color theme="1"/>
        <name val="ArialMT"/>
        <scheme val="none"/>
      </font>
      <alignment horizontal="center" vertical="bottom" textRotation="0" wrapText="0" indent="0" justifyLastLine="0" shrinkToFit="0" readingOrder="0"/>
    </dxf>
    <dxf>
      <font>
        <b val="0"/>
        <i val="0"/>
        <strike val="0"/>
        <condense val="0"/>
        <extend val="0"/>
        <outline val="0"/>
        <shadow val="0"/>
        <u val="none"/>
        <vertAlign val="baseline"/>
        <sz val="10"/>
        <color theme="1"/>
        <name val="ArialMT"/>
        <scheme val="none"/>
      </font>
      <numFmt numFmtId="0" formatCode="General"/>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10"/>
        <color theme="1"/>
        <name val="ArialMT"/>
        <scheme val="none"/>
      </font>
      <fill>
        <patternFill patternType="none">
          <fgColor indexed="64"/>
          <bgColor auto="1"/>
        </patternFill>
      </fill>
    </dxf>
    <dxf>
      <font>
        <b/>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4" formatCode="_(&quot;$&quot;* #,##0.00_);_(&quot;$&quot;* \(#,##0.00\);_(&quot;$&quot;* &quot;-&quot;??_);_(@_)"/>
      <alignment horizontal="general" vertical="bottom" textRotation="0" wrapText="1" indent="0" justifyLastLine="0" shrinkToFit="0" readingOrder="0"/>
      <border diagonalUp="0" diagonalDown="0" outline="0">
        <left/>
        <right/>
        <top/>
        <bottom/>
      </border>
    </dxf>
    <dxf>
      <font>
        <sz val="10"/>
        <name val="Arial"/>
        <family val="2"/>
        <scheme val="none"/>
      </font>
      <alignment horizontal="general" vertical="center" textRotation="0" wrapText="1" indent="0" justifyLastLine="0" shrinkToFit="0" readingOrder="0"/>
    </dxf>
    <dxf>
      <numFmt numFmtId="2" formatCode="0.00"/>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theme="1"/>
        <name val="Arial"/>
        <family val="2"/>
        <scheme val="none"/>
      </font>
      <numFmt numFmtId="34" formatCode="_(&quot;$&quot;* #,##0.00_);_(&quot;$&quot;* \(#,##0.00\);_(&quot;$&quot;* &quot;-&quot;??_);_(@_)"/>
      <fill>
        <patternFill patternType="none">
          <fgColor indexed="64"/>
          <bgColor auto="1"/>
        </patternFill>
      </fill>
      <alignment horizontal="general" vertical="center" textRotation="0" wrapText="1" indent="0" justifyLastLine="0" shrinkToFit="0" readingOrder="0"/>
    </dxf>
    <dxf>
      <numFmt numFmtId="2" formatCode="0.00"/>
      <alignment horizontal="general" vertical="bottom" textRotation="0" wrapText="1" indent="0" justifyLastLine="0" shrinkToFit="0" readingOrder="0"/>
      <border diagonalUp="0" diagonalDown="0" outline="0">
        <left/>
        <right/>
        <top/>
        <bottom/>
      </border>
    </dxf>
    <dxf>
      <font>
        <sz val="10"/>
        <name val="Arial"/>
        <family val="2"/>
        <scheme val="none"/>
      </font>
      <numFmt numFmtId="2" formatCode="0.00"/>
    </dxf>
    <dxf>
      <numFmt numFmtId="2" formatCode="0.00"/>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theme="1"/>
        <name val="Arial"/>
        <family val="2"/>
        <scheme val="none"/>
      </font>
      <numFmt numFmtId="35" formatCode="_(* #,##0.00_);_(* \(#,##0.00\);_(* &quot;-&quot;??_);_(@_)"/>
    </dxf>
    <dxf>
      <numFmt numFmtId="2" formatCode="0.00"/>
      <alignment horizontal="general" vertical="bottom" textRotation="0" wrapText="1" indent="0" justifyLastLine="0" shrinkToFit="0" readingOrder="0"/>
      <border diagonalUp="0" diagonalDown="0" outline="0">
        <left/>
        <right/>
        <top/>
        <bottom/>
      </border>
    </dxf>
    <dxf>
      <font>
        <sz val="10"/>
        <name val="Arial"/>
        <family val="2"/>
        <scheme val="none"/>
      </font>
      <numFmt numFmtId="2" formatCode="0.00"/>
    </dxf>
    <dxf>
      <numFmt numFmtId="2" formatCode="0.00"/>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theme="1"/>
        <name val="Arial"/>
        <family val="2"/>
        <scheme val="none"/>
      </font>
      <numFmt numFmtId="35" formatCode="_(* #,##0.00_);_(* \(#,##0.00\);_(* &quot;-&quot;??_);_(@_)"/>
    </dxf>
    <dxf>
      <font>
        <b/>
        <i val="0"/>
        <strike val="0"/>
        <condense val="0"/>
        <extend val="0"/>
        <outline val="0"/>
        <shadow val="0"/>
        <u val="none"/>
        <vertAlign val="baseline"/>
        <sz val="10"/>
        <color theme="1"/>
        <name val="ArialMT"/>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0"/>
        <color theme="1"/>
        <name val="ArialMT"/>
        <scheme val="none"/>
      </font>
      <fill>
        <patternFill patternType="none">
          <fgColor indexed="64"/>
          <bgColor indexed="65"/>
        </patternFill>
      </fill>
      <alignment horizontal="left" vertical="center" textRotation="0" wrapText="1" indent="0" justifyLastLine="0" shrinkToFit="0" readingOrder="0"/>
    </dxf>
    <dxf>
      <alignment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34" formatCode="_(&quot;$&quot;* #,##0.00_);_(&quot;$&quot;* \(#,##0.00\);_(&quot;$&quot;* &quot;-&quot;??_);_(@_)"/>
      <alignment horizontal="general" vertical="bottom" textRotation="0" wrapText="1" indent="0" justifyLastLine="0" shrinkToFit="0" readingOrder="0"/>
      <border diagonalUp="0" diagonalDown="0" outline="0">
        <left/>
        <right/>
        <top/>
        <bottom/>
      </border>
    </dxf>
    <dxf>
      <font>
        <sz val="10"/>
        <name val="Arial"/>
        <family val="2"/>
        <scheme val="none"/>
      </font>
      <alignment horizontal="general" vertical="center" textRotation="0" wrapText="1" indent="0" justifyLastLine="0" shrinkToFit="0" readingOrder="0"/>
    </dxf>
    <dxf>
      <numFmt numFmtId="2" formatCode="0.00"/>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theme="1"/>
        <name val="Arial"/>
        <family val="2"/>
        <scheme val="none"/>
      </font>
      <numFmt numFmtId="34" formatCode="_(&quot;$&quot;* #,##0.00_);_(&quot;$&quot;* \(#,##0.00\);_(&quot;$&quot;* &quot;-&quot;??_);_(@_)"/>
      <fill>
        <patternFill patternType="none">
          <fgColor indexed="64"/>
          <bgColor auto="1"/>
        </patternFill>
      </fill>
      <alignment horizontal="general" vertical="center" textRotation="0" wrapText="1" indent="0" justifyLastLine="0" shrinkToFit="0" readingOrder="0"/>
    </dxf>
    <dxf>
      <numFmt numFmtId="2" formatCode="0.00"/>
      <alignment horizontal="general" vertical="bottom" textRotation="0" wrapText="1" indent="0" justifyLastLine="0" shrinkToFit="0" readingOrder="0"/>
      <border diagonalUp="0" diagonalDown="0" outline="0">
        <left/>
        <right/>
        <top/>
        <bottom/>
      </border>
    </dxf>
    <dxf>
      <font>
        <sz val="10"/>
        <name val="Arial"/>
        <family val="2"/>
        <scheme val="none"/>
      </font>
      <numFmt numFmtId="2" formatCode="0.00"/>
      <alignment horizontal="general" vertical="center" textRotation="0" wrapText="1" indent="0" justifyLastLine="0" shrinkToFit="0" readingOrder="0"/>
    </dxf>
    <dxf>
      <numFmt numFmtId="2" formatCode="0.00"/>
      <alignment horizontal="general" vertical="bottom" textRotation="0" wrapText="1" indent="0" justifyLastLine="0" shrinkToFit="0" readingOrder="0"/>
      <border diagonalUp="0" diagonalDown="0" outline="0">
        <left/>
        <right/>
        <top/>
        <bottom/>
      </border>
    </dxf>
    <dxf>
      <font>
        <sz val="10"/>
        <name val="Arial"/>
        <family val="2"/>
        <scheme val="none"/>
      </font>
      <numFmt numFmtId="35" formatCode="_(* #,##0.00_);_(* \(#,##0.00\);_(* &quot;-&quot;??_);_(@_)"/>
      <alignment horizontal="center" vertical="center" textRotation="0" wrapText="1" indent="0" justifyLastLine="0" shrinkToFit="0" readingOrder="0"/>
    </dxf>
    <dxf>
      <numFmt numFmtId="2" formatCode="0.00"/>
      <alignment horizontal="general" vertical="bottom" textRotation="0" wrapText="1" indent="0" justifyLastLine="0" shrinkToFit="0" readingOrder="0"/>
      <border diagonalUp="0" diagonalDown="0" outline="0">
        <left/>
        <right/>
        <top/>
        <bottom/>
      </border>
    </dxf>
    <dxf>
      <font>
        <sz val="10"/>
        <name val="Arial"/>
        <family val="2"/>
        <scheme val="none"/>
      </font>
      <numFmt numFmtId="2" formatCode="0.00"/>
      <alignment horizontal="general" vertical="center" textRotation="0" wrapText="1" indent="0" justifyLastLine="0" shrinkToFit="0" readingOrder="0"/>
    </dxf>
    <dxf>
      <numFmt numFmtId="2" formatCode="0.00"/>
      <alignment horizontal="general" vertical="bottom" textRotation="0" wrapText="1" indent="0" justifyLastLine="0" shrinkToFit="0" readingOrder="0"/>
      <border diagonalUp="0" diagonalDown="0" outline="0">
        <left/>
        <right/>
        <top/>
        <bottom/>
      </border>
    </dxf>
    <dxf>
      <font>
        <sz val="10"/>
        <name val="Arial"/>
        <family val="2"/>
        <scheme val="none"/>
      </font>
      <numFmt numFmtId="35" formatCode="_(* #,##0.00_);_(* \(#,##0.00\);_(* &quot;-&quot;??_);_(@_)"/>
      <alignment horizontal="center" vertical="center" textRotation="0" wrapText="1" indent="0" justifyLastLine="0" shrinkToFit="0" readingOrder="0"/>
    </dxf>
    <dxf>
      <font>
        <b/>
        <i val="0"/>
        <strike val="0"/>
        <condense val="0"/>
        <extend val="0"/>
        <outline val="0"/>
        <shadow val="0"/>
        <u val="none"/>
        <vertAlign val="baseline"/>
        <sz val="10"/>
        <color theme="1"/>
        <name val="ArialMT"/>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numFmt numFmtId="2" formatCode="0.00"/>
      <alignment textRotation="0" wrapText="1" indent="0" justifyLastLine="0" shrinkToFit="0" readingOrder="0"/>
    </dxf>
    <dxf>
      <numFmt numFmtId="2" formatCode="0.00"/>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34" formatCode="_(&quot;$&quot;* #,##0.00_);_(&quot;$&quot;* \(#,##0.00\);_(&quot;$&quot;* &quot;-&quot;??_);_(@_)"/>
      <alignment horizontal="general" vertical="bottom" textRotation="0" wrapText="1" indent="0" justifyLastLine="0" shrinkToFit="0" readingOrder="0"/>
      <border diagonalUp="0" diagonalDown="0" outline="0">
        <left/>
        <right/>
        <top/>
        <bottom/>
      </border>
    </dxf>
    <dxf>
      <numFmt numFmtId="2" formatCode="0.00"/>
      <alignment horizontal="general" vertical="bottom" textRotation="0" wrapText="1" indent="0" justifyLastLine="0" shrinkToFit="0" readingOrder="0"/>
    </dxf>
    <dxf>
      <numFmt numFmtId="2" formatCode="0.00"/>
      <alignment horizontal="general" vertical="bottom" textRotation="0" wrapText="1" indent="0" justifyLastLine="0" shrinkToFit="0" readingOrder="0"/>
    </dxf>
    <dxf>
      <numFmt numFmtId="2" formatCode="0.00"/>
      <alignment horizontal="general" vertical="bottom" textRotation="0" wrapText="1" indent="0" justifyLastLine="0" shrinkToFit="0" readingOrder="0"/>
    </dxf>
    <dxf>
      <numFmt numFmtId="2" formatCode="0.00"/>
      <alignment horizontal="general" vertical="bottom" textRotation="0" wrapText="1" indent="0" justifyLastLine="0" shrinkToFit="0" readingOrder="0"/>
    </dxf>
    <dxf>
      <numFmt numFmtId="35" formatCode="_(* #,##0.00_);_(* \(#,##0.00\);_(* &quot;-&quot;??_);_(@_)"/>
    </dxf>
    <dxf>
      <numFmt numFmtId="2" formatCode="0.00"/>
      <alignment horizontal="general" vertical="bottom" textRotation="0" wrapText="1" indent="0" justifyLastLine="0" shrinkToFit="0" readingOrder="0"/>
    </dxf>
    <dxf>
      <font>
        <b/>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numFmt numFmtId="2" formatCode="0.00"/>
      <alignment textRotation="0" wrapText="1" indent="0" justifyLastLine="0" shrinkToFit="0" readingOrder="0"/>
    </dxf>
    <dxf>
      <numFmt numFmtId="2" formatCode="0.00"/>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auto="1"/>
        </patternFill>
      </fill>
    </dxf>
    <dxf>
      <font>
        <b val="0"/>
        <i val="0"/>
        <strike val="0"/>
        <condense val="0"/>
        <extend val="0"/>
        <outline val="0"/>
        <shadow val="0"/>
        <u val="none"/>
        <vertAlign val="baseline"/>
        <sz val="10"/>
        <color theme="1"/>
        <name val="ArialMT"/>
        <scheme val="none"/>
      </font>
      <numFmt numFmtId="34" formatCode="_(&quot;$&quot;* #,##0.00_);_(&quot;$&quot;* \(#,##0.00\);_(&quot;$&quot;* &quot;-&quot;??_);_(@_)"/>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0"/>
        <color theme="1"/>
        <name val="ArialMT"/>
        <scheme val="none"/>
      </font>
      <fill>
        <patternFill patternType="none">
          <fgColor indexed="64"/>
          <bgColor auto="1"/>
        </patternFill>
      </fill>
    </dxf>
    <dxf>
      <font>
        <b val="0"/>
        <i val="0"/>
        <strike val="0"/>
        <condense val="0"/>
        <extend val="0"/>
        <outline val="0"/>
        <shadow val="0"/>
        <u val="none"/>
        <vertAlign val="baseline"/>
        <sz val="10"/>
        <color theme="1"/>
        <name val="ArialMT"/>
        <scheme val="none"/>
      </font>
      <numFmt numFmtId="4" formatCode="#,##0.00"/>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0"/>
        <color theme="1"/>
        <name val="ArialMT"/>
        <scheme val="none"/>
      </font>
      <fill>
        <patternFill patternType="none">
          <fgColor indexed="64"/>
          <bgColor auto="1"/>
        </patternFill>
      </fill>
    </dxf>
    <dxf>
      <font>
        <b val="0"/>
        <i val="0"/>
        <strike val="0"/>
        <condense val="0"/>
        <extend val="0"/>
        <outline val="0"/>
        <shadow val="0"/>
        <u val="none"/>
        <vertAlign val="baseline"/>
        <sz val="10"/>
        <color theme="1"/>
        <name val="ArialMT"/>
        <scheme val="none"/>
      </font>
      <numFmt numFmtId="3" formatCode="#,##0"/>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0"/>
        <color theme="1"/>
        <name val="ArialMT"/>
        <scheme val="none"/>
      </font>
      <numFmt numFmtId="35" formatCode="_(* #,##0.00_);_(* \(#,##0.00\);_(* &quot;-&quot;??_);_(@_)"/>
      <fill>
        <patternFill patternType="none">
          <fgColor indexed="64"/>
          <bgColor auto="1"/>
        </patternFill>
      </fill>
    </dxf>
    <dxf>
      <font>
        <b val="0"/>
        <i val="0"/>
        <strike val="0"/>
        <condense val="0"/>
        <extend val="0"/>
        <outline val="0"/>
        <shadow val="0"/>
        <u val="none"/>
        <vertAlign val="baseline"/>
        <sz val="10"/>
        <color theme="1"/>
        <name val="ArialMT"/>
        <scheme val="none"/>
      </font>
      <numFmt numFmtId="3" formatCode="#,##0"/>
      <fill>
        <patternFill patternType="none">
          <fgColor indexed="64"/>
          <bgColor indexed="65"/>
        </patternFill>
      </fill>
      <border diagonalUp="0" diagonalDown="0" outline="0">
        <left/>
        <right/>
        <top/>
        <bottom/>
      </border>
    </dxf>
    <dxf>
      <numFmt numFmtId="35" formatCode="_(* #,##0.00_);_(* \(#,##0.00\);_(* &quot;-&quot;??_);_(@_)"/>
      <alignment horizontal="right" vertical="bottom" textRotation="0" wrapText="0"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center"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theme="1"/>
        <name val="ArialMT"/>
        <scheme val="none"/>
      </font>
      <numFmt numFmtId="0" formatCode="General"/>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10"/>
        <color theme="1"/>
        <name val="ArialMT"/>
        <scheme val="none"/>
      </font>
      <fill>
        <patternFill patternType="none">
          <fgColor indexed="64"/>
          <bgColor auto="1"/>
        </patternFill>
      </fill>
    </dxf>
    <dxf>
      <font>
        <b/>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4" formatCode="_(&quot;$&quot;* #,##0.00_);_(&quot;$&quot;* \(#,##0.00\);_(&quot;$&quot;* &quot;-&quot;??_);_(@_)"/>
      <alignment horizontal="general" vertical="bottom" textRotation="0" wrapText="1" indent="0" justifyLastLine="0" shrinkToFit="0" readingOrder="0"/>
      <border diagonalUp="0" diagonalDown="0" outline="0">
        <left/>
        <right/>
        <top/>
        <bottom/>
      </border>
    </dxf>
    <dxf>
      <font>
        <sz val="10"/>
        <name val="Arial"/>
        <family val="2"/>
        <scheme val="none"/>
      </font>
      <alignment horizontal="general" vertical="center" textRotation="0" wrapText="1" indent="0" justifyLastLine="0" shrinkToFit="0" readingOrder="0"/>
    </dxf>
    <dxf>
      <numFmt numFmtId="2" formatCode="0.00"/>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theme="1"/>
        <name val="Arial"/>
        <family val="2"/>
        <scheme val="none"/>
      </font>
      <numFmt numFmtId="34" formatCode="_(&quot;$&quot;* #,##0.00_);_(&quot;$&quot;* \(#,##0.00\);_(&quot;$&quot;* &quot;-&quot;??_);_(@_)"/>
      <fill>
        <patternFill patternType="none">
          <fgColor indexed="64"/>
          <bgColor auto="1"/>
        </patternFill>
      </fill>
      <alignment horizontal="general" vertical="center" textRotation="0" wrapText="1" indent="0" justifyLastLine="0" shrinkToFit="0" readingOrder="0"/>
    </dxf>
    <dxf>
      <numFmt numFmtId="2" formatCode="0.00"/>
      <alignment horizontal="general" vertical="bottom" textRotation="0" wrapText="1" indent="0" justifyLastLine="0" shrinkToFit="0" readingOrder="0"/>
      <border diagonalUp="0" diagonalDown="0" outline="0">
        <left/>
        <right/>
        <top/>
        <bottom/>
      </border>
    </dxf>
    <dxf>
      <font>
        <sz val="10"/>
        <name val="Arial"/>
        <family val="2"/>
        <scheme val="none"/>
      </font>
      <numFmt numFmtId="2" formatCode="0.00"/>
    </dxf>
    <dxf>
      <numFmt numFmtId="2" formatCode="0.00"/>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theme="1"/>
        <name val="Arial"/>
        <family val="2"/>
        <scheme val="none"/>
      </font>
      <numFmt numFmtId="35" formatCode="_(* #,##0.00_);_(* \(#,##0.00\);_(* &quot;-&quot;??_);_(@_)"/>
    </dxf>
    <dxf>
      <numFmt numFmtId="2" formatCode="0.00"/>
      <alignment horizontal="general" vertical="bottom" textRotation="0" wrapText="1" indent="0" justifyLastLine="0" shrinkToFit="0" readingOrder="0"/>
      <border diagonalUp="0" diagonalDown="0" outline="0">
        <left/>
        <right/>
        <top/>
        <bottom/>
      </border>
    </dxf>
    <dxf>
      <font>
        <sz val="10"/>
        <name val="Arial"/>
        <family val="2"/>
        <scheme val="none"/>
      </font>
      <numFmt numFmtId="2" formatCode="0.00"/>
    </dxf>
    <dxf>
      <numFmt numFmtId="2" formatCode="0.00"/>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theme="1"/>
        <name val="Arial"/>
        <family val="2"/>
        <scheme val="none"/>
      </font>
      <numFmt numFmtId="35" formatCode="_(* #,##0.00_);_(* \(#,##0.00\);_(* &quot;-&quot;??_);_(@_)"/>
    </dxf>
    <dxf>
      <font>
        <b/>
        <i val="0"/>
        <strike val="0"/>
        <condense val="0"/>
        <extend val="0"/>
        <outline val="0"/>
        <shadow val="0"/>
        <u val="none"/>
        <vertAlign val="baseline"/>
        <sz val="10"/>
        <color theme="1"/>
        <name val="ArialMT"/>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0"/>
        <color theme="1"/>
        <name val="ArialMT"/>
        <scheme val="none"/>
      </font>
      <fill>
        <patternFill patternType="none">
          <fgColor indexed="64"/>
          <bgColor indexed="65"/>
        </patternFill>
      </fill>
      <alignment horizontal="left" vertical="center" textRotation="0" wrapText="1" indent="0" justifyLastLine="0" shrinkToFit="0" readingOrder="0"/>
    </dxf>
    <dxf>
      <alignment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34" formatCode="_(&quot;$&quot;* #,##0.00_);_(&quot;$&quot;* \(#,##0.00\);_(&quot;$&quot;* &quot;-&quot;??_);_(@_)"/>
      <alignment horizontal="general" vertical="bottom" textRotation="0" wrapText="1" indent="0" justifyLastLine="0" shrinkToFit="0" readingOrder="0"/>
    </dxf>
    <dxf>
      <font>
        <sz val="10"/>
        <name val="Arial"/>
        <family val="2"/>
        <scheme val="none"/>
      </font>
      <alignment horizontal="general" vertical="center" textRotation="0" wrapText="1" indent="0" justifyLastLine="0" shrinkToFit="0" readingOrder="0"/>
    </dxf>
    <dxf>
      <numFmt numFmtId="2" formatCode="0.00"/>
      <alignment horizontal="general"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4" formatCode="_(&quot;$&quot;* #,##0.00_);_(&quot;$&quot;* \(#,##0.00\);_(&quot;$&quot;* &quot;-&quot;??_);_(@_)"/>
      <fill>
        <patternFill patternType="none">
          <fgColor indexed="64"/>
          <bgColor auto="1"/>
        </patternFill>
      </fill>
      <alignment horizontal="general" vertical="center" textRotation="0" wrapText="1" indent="0" justifyLastLine="0" shrinkToFit="0" readingOrder="0"/>
    </dxf>
    <dxf>
      <numFmt numFmtId="2" formatCode="0.00"/>
      <alignment horizontal="general" vertical="bottom" textRotation="0" wrapText="1" indent="0" justifyLastLine="0" shrinkToFit="0" readingOrder="0"/>
    </dxf>
    <dxf>
      <font>
        <sz val="10"/>
        <name val="Arial"/>
        <family val="2"/>
        <scheme val="none"/>
      </font>
      <numFmt numFmtId="2" formatCode="0.00"/>
      <alignment horizontal="general" vertical="center" textRotation="0" wrapText="1" indent="0" justifyLastLine="0" shrinkToFit="0" readingOrder="0"/>
    </dxf>
    <dxf>
      <numFmt numFmtId="2" formatCode="0.00"/>
      <alignment horizontal="general" vertical="bottom" textRotation="0" wrapText="1" indent="0" justifyLastLine="0" shrinkToFit="0" readingOrder="0"/>
    </dxf>
    <dxf>
      <font>
        <sz val="10"/>
        <name val="Arial"/>
        <family val="2"/>
        <scheme val="none"/>
      </font>
      <numFmt numFmtId="35" formatCode="_(* #,##0.00_);_(* \(#,##0.00\);_(* &quot;-&quot;??_);_(@_)"/>
      <alignment horizontal="center" vertical="center" textRotation="0" wrapText="1" indent="0" justifyLastLine="0" shrinkToFit="0" readingOrder="0"/>
    </dxf>
    <dxf>
      <numFmt numFmtId="2" formatCode="0.00"/>
      <alignment horizontal="general" vertical="bottom" textRotation="0" wrapText="1" indent="0" justifyLastLine="0" shrinkToFit="0" readingOrder="0"/>
    </dxf>
    <dxf>
      <font>
        <sz val="10"/>
        <name val="Arial"/>
        <family val="2"/>
        <scheme val="none"/>
      </font>
      <numFmt numFmtId="35" formatCode="_(* #,##0.00_);_(* \(#,##0.00\);_(* &quot;-&quot;??_);_(@_)"/>
      <alignment horizontal="general" vertical="center" textRotation="0" wrapText="1" indent="0" justifyLastLine="0" shrinkToFit="0" readingOrder="0"/>
    </dxf>
    <dxf>
      <numFmt numFmtId="2" formatCode="0.00"/>
      <alignment horizontal="general" vertical="bottom" textRotation="0" wrapText="1" indent="0" justifyLastLine="0" shrinkToFit="0" readingOrder="0"/>
    </dxf>
    <dxf>
      <font>
        <sz val="10"/>
        <name val="Arial"/>
        <family val="2"/>
        <scheme val="none"/>
      </font>
      <numFmt numFmtId="35" formatCode="_(* #,##0.00_);_(* \(#,##0.00\);_(* &quot;-&quot;??_);_(@_)"/>
      <alignment horizontal="center" vertical="center" textRotation="0" wrapText="1" indent="0" justifyLastLine="0" shrinkToFit="0" readingOrder="0"/>
    </dxf>
    <dxf>
      <font>
        <b/>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numFmt numFmtId="2" formatCode="0.00"/>
      <alignment textRotation="0" wrapText="1" indent="0" justifyLastLine="0" shrinkToFit="0" readingOrder="0"/>
    </dxf>
    <dxf>
      <numFmt numFmtId="2" formatCode="0.00"/>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34" formatCode="_(&quot;$&quot;* #,##0.00_);_(&quot;$&quot;* \(#,##0.00\);_(&quot;$&quot;* &quot;-&quot;??_);_(@_)"/>
      <alignment horizontal="general" vertical="bottom" textRotation="0" wrapText="1" indent="0" justifyLastLine="0" shrinkToFit="0" readingOrder="0"/>
    </dxf>
    <dxf>
      <numFmt numFmtId="2" formatCode="0.00"/>
      <alignment horizontal="general" vertical="bottom" textRotation="0" wrapText="1" indent="0" justifyLastLine="0" shrinkToFit="0" readingOrder="0"/>
    </dxf>
    <dxf>
      <numFmt numFmtId="2" formatCode="0.00"/>
      <alignment horizontal="general" vertical="bottom" textRotation="0" wrapText="1" indent="0" justifyLastLine="0" shrinkToFit="0" readingOrder="0"/>
    </dxf>
    <dxf>
      <numFmt numFmtId="2" formatCode="0.00"/>
      <alignment horizontal="general" vertical="bottom" textRotation="0" wrapText="1" indent="0" justifyLastLine="0" shrinkToFit="0" readingOrder="0"/>
    </dxf>
    <dxf>
      <numFmt numFmtId="2" formatCode="0.00"/>
      <alignment horizontal="general" vertical="bottom" textRotation="0" wrapText="1" indent="0" justifyLastLine="0" shrinkToFit="0" readingOrder="0"/>
    </dxf>
    <dxf>
      <numFmt numFmtId="35" formatCode="_(* #,##0.00_);_(* \(#,##0.00\);_(* &quot;-&quot;??_);_(@_)"/>
    </dxf>
    <dxf>
      <numFmt numFmtId="2" formatCode="0.00"/>
      <alignment horizontal="general" vertical="bottom" textRotation="0" wrapText="1" indent="0" justifyLastLine="0" shrinkToFit="0" readingOrder="0"/>
    </dxf>
    <dxf>
      <font>
        <b/>
        <i val="0"/>
        <strike val="0"/>
        <condense val="0"/>
        <extend val="0"/>
        <outline val="0"/>
        <shadow val="0"/>
        <u val="none"/>
        <vertAlign val="baseline"/>
        <sz val="10"/>
        <color theme="1"/>
        <name val="ArialMT"/>
        <scheme val="none"/>
      </font>
      <alignment horizontal="center" vertical="center" textRotation="0" wrapText="1" indent="0" justifyLastLine="0" shrinkToFit="0" readingOrder="0"/>
    </dxf>
    <dxf>
      <font>
        <b/>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dxf>
    <dxf>
      <numFmt numFmtId="2" formatCode="0.00"/>
      <alignment textRotation="0" wrapText="1" indent="0" justifyLastLine="0" shrinkToFit="0" readingOrder="0"/>
    </dxf>
    <dxf>
      <numFmt numFmtId="2" formatCode="0.00"/>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MT"/>
        <scheme val="none"/>
      </font>
      <numFmt numFmtId="34" formatCode="_(&quot;$&quot;* #,##0.00_);_(&quot;$&quot;* \(#,##0.00\);_(&quot;$&quot;* &quot;-&quot;??_);_(@_)"/>
      <alignment horizontal="general" vertical="center" textRotation="0" wrapText="0" indent="0" justifyLastLine="0" shrinkToFit="0" readingOrder="0"/>
    </dxf>
    <dxf>
      <font>
        <b val="0"/>
        <i val="0"/>
        <strike val="0"/>
        <condense val="0"/>
        <extend val="0"/>
        <outline val="0"/>
        <shadow val="0"/>
        <u val="none"/>
        <vertAlign val="baseline"/>
        <sz val="10"/>
        <color auto="1"/>
        <name val="ArialMT"/>
        <scheme val="none"/>
      </font>
      <numFmt numFmtId="34" formatCode="_(&quot;$&quot;* #,##0.00_);_(&quot;$&quot;* \(#,##0.00\);_(&quot;$&quot;* &quot;-&quot;??_);_(@_)"/>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ArialMT"/>
        <scheme val="none"/>
      </font>
      <numFmt numFmtId="34" formatCode="_(&quot;$&quot;* #,##0.00_);_(&quot;$&quot;* \(#,##0.00\);_(&quot;$&quot;* &quot;-&quot;??_);_(@_)"/>
      <alignment horizontal="general" vertical="center" textRotation="0" wrapText="0" indent="0" justifyLastLine="0" shrinkToFit="0" readingOrder="0"/>
    </dxf>
    <dxf>
      <font>
        <b val="0"/>
        <i val="0"/>
        <strike val="0"/>
        <condense val="0"/>
        <extend val="0"/>
        <outline val="0"/>
        <shadow val="0"/>
        <u val="none"/>
        <vertAlign val="baseline"/>
        <sz val="10"/>
        <color auto="1"/>
        <name val="ArialMT"/>
        <scheme val="none"/>
      </font>
      <numFmt numFmtId="34" formatCode="_(&quot;$&quot;* #,##0.00_);_(&quot;$&quot;* \(#,##0.00\);_(&quot;$&quot;* &quot;-&quot;??_);_(@_)"/>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ArialMT"/>
        <scheme val="none"/>
      </font>
      <numFmt numFmtId="34" formatCode="_(&quot;$&quot;* #,##0.00_);_(&quot;$&quot;* \(#,##0.00\);_(&quot;$&quot;* &quot;-&quot;??_);_(@_)"/>
      <alignment horizontal="center" vertical="center" textRotation="0" wrapText="0" indent="0" justifyLastLine="0" shrinkToFit="0" readingOrder="0"/>
    </dxf>
    <dxf>
      <font>
        <b val="0"/>
        <i val="0"/>
        <strike val="0"/>
        <condense val="0"/>
        <extend val="0"/>
        <outline val="0"/>
        <shadow val="0"/>
        <u val="none"/>
        <vertAlign val="baseline"/>
        <sz val="10"/>
        <color auto="1"/>
        <name val="ArialMT"/>
        <scheme val="none"/>
      </font>
      <numFmt numFmtId="34" formatCode="_(&quot;$&quot;* #,##0.00_);_(&quot;$&quot;* \(#,##0.00\);_(&quot;$&quot;* &quot;-&quot;??_);_(@_)"/>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0"/>
        <color theme="0"/>
        <name val="ArialMT"/>
        <scheme val="none"/>
      </font>
      <fill>
        <patternFill patternType="none">
          <fgColor indexed="64"/>
          <bgColor auto="1"/>
        </patternFill>
      </fill>
      <alignment horizontal="center" vertical="center" textRotation="0" wrapText="1" indent="0" justifyLastLine="0" shrinkToFit="0" readingOrder="0"/>
    </dxf>
    <dxf>
      <numFmt numFmtId="34" formatCode="_(&quot;$&quot;* #,##0.00_);_(&quot;$&quot;* \(#,##0.00\);_(&quot;$&quot;* &quot;-&quot;??_);_(@_)"/>
    </dxf>
    <dxf>
      <numFmt numFmtId="34" formatCode="_(&quot;$&quot;* #,##0.00_);_(&quot;$&quot;* \(#,##0.00\);_(&quot;$&quot;* &quot;-&quot;??_);_(@_)"/>
    </dxf>
    <dxf>
      <numFmt numFmtId="34" formatCode="_(&quot;$&quot;* #,##0.00_);_(&quot;$&quot;* \(#,##0.00\);_(&quot;$&quot;* &quot;-&quot;??_);_(@_)"/>
    </dxf>
    <dxf>
      <font>
        <b/>
        <i val="0"/>
        <strike val="0"/>
        <condense val="0"/>
        <extend val="0"/>
        <outline val="0"/>
        <shadow val="0"/>
        <u val="none"/>
        <vertAlign val="baseline"/>
        <sz val="10"/>
        <color theme="0"/>
        <name val="ArialM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auto="1"/>
        <name val="ArialMT"/>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ArialMT"/>
        <scheme val="none"/>
      </font>
      <numFmt numFmtId="34" formatCode="_(&quot;$&quot;* #,##0.00_);_(&quot;$&quot;* \(#,##0.00\);_(&quot;$&quot;* &quot;-&quot;??_);_(@_)"/>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ArialMT"/>
        <scheme val="none"/>
      </font>
      <numFmt numFmtId="0" formatCode="General"/>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ArialMT"/>
        <scheme val="none"/>
      </font>
      <numFmt numFmtId="34" formatCode="_(&quot;$&quot;* #,##0.00_);_(&quot;$&quot;* \(#,##0.00\);_(&quot;$&quot;* &quot;-&quot;??_);_(@_)"/>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ArialMT"/>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rialMT"/>
        <scheme val="none"/>
      </font>
      <numFmt numFmtId="34" formatCode="_(&quot;$&quot;* #,##0.00_);_(&quot;$&quot;* \(#,##0.00\);_(&quot;$&quot;* &quot;-&quot;??_);_(@_)"/>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0"/>
        <color theme="0"/>
        <name val="ArialMT"/>
        <scheme val="none"/>
      </font>
      <fill>
        <patternFill patternType="none">
          <fgColor indexed="64"/>
          <bgColor auto="1"/>
        </patternFill>
      </fill>
      <alignment horizontal="center" vertical="center" textRotation="0" wrapText="1" indent="0" justifyLastLine="0" shrinkToFit="0" readingOrder="0"/>
    </dxf>
    <dxf>
      <numFmt numFmtId="34" formatCode="_(&quot;$&quot;* #,##0.00_);_(&quot;$&quot;* \(#,##0.00\);_(&quot;$&quot;* &quot;-&quot;??_);_(@_)"/>
    </dxf>
    <dxf>
      <numFmt numFmtId="34" formatCode="_(&quot;$&quot;* #,##0.00_);_(&quot;$&quot;* \(#,##0.00\);_(&quot;$&quot;* &quot;-&quot;??_);_(@_)"/>
    </dxf>
    <dxf>
      <numFmt numFmtId="34" formatCode="_(&quot;$&quot;* #,##0.00_);_(&quot;$&quot;* \(#,##0.00\);_(&quot;$&quot;* &quot;-&quot;??_);_(@_)"/>
    </dxf>
    <dxf>
      <font>
        <b/>
        <i val="0"/>
        <strike val="0"/>
        <condense val="0"/>
        <extend val="0"/>
        <outline val="0"/>
        <shadow val="0"/>
        <u val="none"/>
        <vertAlign val="baseline"/>
        <sz val="10"/>
        <color theme="0"/>
        <name val="ArialM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dxf>
    <dxf>
      <font>
        <b val="0"/>
        <i val="0"/>
        <strike val="0"/>
        <condense val="0"/>
        <extend val="0"/>
        <outline val="0"/>
        <shadow val="0"/>
        <u val="none"/>
        <vertAlign val="baseline"/>
        <sz val="10"/>
        <color auto="1"/>
        <name val="ArialMT"/>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ArialMT"/>
        <scheme val="none"/>
      </font>
      <numFmt numFmtId="34" formatCode="_(&quot;$&quot;* #,##0.00_);_(&quot;$&quot;* \(#,##0.00\);_(&quot;$&quot;* &quot;-&quot;??_);_(@_)"/>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ArialMT"/>
        <scheme val="none"/>
      </font>
      <numFmt numFmtId="0" formatCode="General"/>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ArialMT"/>
        <scheme val="none"/>
      </font>
      <numFmt numFmtId="34" formatCode="_(&quot;$&quot;* #,##0.00_);_(&quot;$&quot;* \(#,##0.00\);_(&quot;$&quot;* &quot;-&quot;??_);_(@_)"/>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ArialMT"/>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rialMT"/>
        <scheme val="none"/>
      </font>
      <numFmt numFmtId="34" formatCode="_(&quot;$&quot;* #,##0.00_);_(&quot;$&quot;* \(#,##0.00\);_(&quot;$&quot;* &quot;-&quot;??_);_(@_)"/>
      <fill>
        <patternFill patternType="none">
          <fgColor indexed="64"/>
          <bgColor auto="1"/>
        </patternFill>
      </fill>
      <alignment horizontal="center" vertical="center" textRotation="0" wrapText="0" indent="0" justifyLastLine="0" shrinkToFit="0" readingOrder="0"/>
    </dxf>
    <dxf>
      <fill>
        <patternFill patternType="none">
          <fgColor rgb="FF000000"/>
          <bgColor auto="1"/>
        </patternFill>
      </fill>
    </dxf>
    <dxf>
      <font>
        <b/>
        <i val="0"/>
        <strike val="0"/>
        <condense val="0"/>
        <extend val="0"/>
        <outline val="0"/>
        <shadow val="0"/>
        <u val="none"/>
        <vertAlign val="baseline"/>
        <sz val="10"/>
        <color theme="0"/>
        <name val="ArialMT"/>
        <scheme val="none"/>
      </font>
      <fill>
        <patternFill patternType="none">
          <fgColor indexed="64"/>
          <bgColor auto="1"/>
        </patternFill>
      </fill>
      <alignment horizontal="center" vertical="center" textRotation="0" wrapText="1" indent="0" justifyLastLine="0" shrinkToFit="0" readingOrder="0"/>
    </dxf>
    <dxf>
      <numFmt numFmtId="34" formatCode="_(&quot;$&quot;* #,##0.00_);_(&quot;$&quot;* \(#,##0.00\);_(&quot;$&quot;* &quot;-&quot;??_);_(@_)"/>
    </dxf>
    <dxf>
      <numFmt numFmtId="34" formatCode="_(&quot;$&quot;* #,##0.00_);_(&quot;$&quot;* \(#,##0.00\);_(&quot;$&quot;* &quot;-&quot;??_);_(@_)"/>
    </dxf>
    <dxf>
      <numFmt numFmtId="34" formatCode="_(&quot;$&quot;* #,##0.00_);_(&quot;$&quot;* \(#,##0.00\);_(&quot;$&quot;* &quot;-&quot;??_);_(@_)"/>
    </dxf>
    <dxf>
      <font>
        <b/>
        <i val="0"/>
        <strike val="0"/>
        <condense val="0"/>
        <extend val="0"/>
        <outline val="0"/>
        <shadow val="0"/>
        <u val="none"/>
        <vertAlign val="baseline"/>
        <sz val="10"/>
        <color theme="0"/>
        <name val="ArialMT"/>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MT"/>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MT"/>
        <scheme val="none"/>
      </font>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326"/>
      <tableStyleElement type="headerRow" dxfId="132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353785</xdr:colOff>
      <xdr:row>1</xdr:row>
      <xdr:rowOff>38099</xdr:rowOff>
    </xdr:from>
    <xdr:to>
      <xdr:col>10</xdr:col>
      <xdr:colOff>32642</xdr:colOff>
      <xdr:row>4</xdr:row>
      <xdr:rowOff>139608</xdr:rowOff>
    </xdr:to>
    <xdr:pic>
      <xdr:nvPicPr>
        <xdr:cNvPr id="2" name="Picture 1" descr="logo">
          <a:extLst>
            <a:ext uri="{FF2B5EF4-FFF2-40B4-BE49-F238E27FC236}">
              <a16:creationId xmlns:a16="http://schemas.microsoft.com/office/drawing/2014/main" id="{40FEF8CF-F138-4EBE-8221-D767F9F1B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7910" y="200024"/>
          <a:ext cx="1240957" cy="5872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23</xdr:row>
      <xdr:rowOff>28575</xdr:rowOff>
    </xdr:from>
    <xdr:to>
      <xdr:col>1</xdr:col>
      <xdr:colOff>0</xdr:colOff>
      <xdr:row>24</xdr:row>
      <xdr:rowOff>152400</xdr:rowOff>
    </xdr:to>
    <xdr:sp macro="" textlink="">
      <xdr:nvSpPr>
        <xdr:cNvPr id="3" name="Arrow: Right 2">
          <a:extLst>
            <a:ext uri="{FF2B5EF4-FFF2-40B4-BE49-F238E27FC236}">
              <a16:creationId xmlns:a16="http://schemas.microsoft.com/office/drawing/2014/main" id="{462DE05B-0644-4CCB-81EF-765C38A9F212}"/>
            </a:ext>
          </a:extLst>
        </xdr:cNvPr>
        <xdr:cNvSpPr/>
      </xdr:nvSpPr>
      <xdr:spPr>
        <a:xfrm>
          <a:off x="923925" y="6305550"/>
          <a:ext cx="0" cy="285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28</xdr:row>
      <xdr:rowOff>266700</xdr:rowOff>
    </xdr:from>
    <xdr:to>
      <xdr:col>1</xdr:col>
      <xdr:colOff>0</xdr:colOff>
      <xdr:row>28</xdr:row>
      <xdr:rowOff>581025</xdr:rowOff>
    </xdr:to>
    <xdr:sp macro="" textlink="">
      <xdr:nvSpPr>
        <xdr:cNvPr id="4" name="Arrow: Right 3">
          <a:extLst>
            <a:ext uri="{FF2B5EF4-FFF2-40B4-BE49-F238E27FC236}">
              <a16:creationId xmlns:a16="http://schemas.microsoft.com/office/drawing/2014/main" id="{9520A755-6CDC-4CD2-90EE-4AD6050F0526}"/>
            </a:ext>
          </a:extLst>
        </xdr:cNvPr>
        <xdr:cNvSpPr/>
      </xdr:nvSpPr>
      <xdr:spPr>
        <a:xfrm>
          <a:off x="923925" y="7248525"/>
          <a:ext cx="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122464</xdr:colOff>
      <xdr:row>1</xdr:row>
      <xdr:rowOff>51706</xdr:rowOff>
    </xdr:from>
    <xdr:to>
      <xdr:col>14</xdr:col>
      <xdr:colOff>1363420</xdr:colOff>
      <xdr:row>4</xdr:row>
      <xdr:rowOff>86540</xdr:rowOff>
    </xdr:to>
    <xdr:pic>
      <xdr:nvPicPr>
        <xdr:cNvPr id="2" name="Picture 1" descr="logo">
          <a:extLst>
            <a:ext uri="{FF2B5EF4-FFF2-40B4-BE49-F238E27FC236}">
              <a16:creationId xmlns:a16="http://schemas.microsoft.com/office/drawing/2014/main" id="{57D9B450-0B94-41F7-8856-79D78BA1E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29189" y="242206"/>
          <a:ext cx="1240956" cy="6063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353785</xdr:colOff>
      <xdr:row>1</xdr:row>
      <xdr:rowOff>38099</xdr:rowOff>
    </xdr:from>
    <xdr:to>
      <xdr:col>10</xdr:col>
      <xdr:colOff>32642</xdr:colOff>
      <xdr:row>4</xdr:row>
      <xdr:rowOff>139608</xdr:rowOff>
    </xdr:to>
    <xdr:pic>
      <xdr:nvPicPr>
        <xdr:cNvPr id="2" name="Picture 1" descr="logo">
          <a:extLst>
            <a:ext uri="{FF2B5EF4-FFF2-40B4-BE49-F238E27FC236}">
              <a16:creationId xmlns:a16="http://schemas.microsoft.com/office/drawing/2014/main" id="{1F535D48-EE43-4D0A-BE6C-247BC1201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54249" y="201385"/>
          <a:ext cx="1243678" cy="5913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23</xdr:row>
      <xdr:rowOff>28575</xdr:rowOff>
    </xdr:from>
    <xdr:to>
      <xdr:col>1</xdr:col>
      <xdr:colOff>0</xdr:colOff>
      <xdr:row>24</xdr:row>
      <xdr:rowOff>152400</xdr:rowOff>
    </xdr:to>
    <xdr:sp macro="" textlink="">
      <xdr:nvSpPr>
        <xdr:cNvPr id="5" name="Arrow: Right 4">
          <a:extLst>
            <a:ext uri="{FF2B5EF4-FFF2-40B4-BE49-F238E27FC236}">
              <a16:creationId xmlns:a16="http://schemas.microsoft.com/office/drawing/2014/main" id="{4D8049E6-EA3E-4BB8-98DD-EB29DC4DB1EF}"/>
            </a:ext>
          </a:extLst>
        </xdr:cNvPr>
        <xdr:cNvSpPr/>
      </xdr:nvSpPr>
      <xdr:spPr>
        <a:xfrm>
          <a:off x="4610100" y="10534650"/>
          <a:ext cx="590550" cy="314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28</xdr:row>
      <xdr:rowOff>266700</xdr:rowOff>
    </xdr:from>
    <xdr:to>
      <xdr:col>1</xdr:col>
      <xdr:colOff>0</xdr:colOff>
      <xdr:row>28</xdr:row>
      <xdr:rowOff>581025</xdr:rowOff>
    </xdr:to>
    <xdr:sp macro="" textlink="">
      <xdr:nvSpPr>
        <xdr:cNvPr id="7" name="Arrow: Right 6">
          <a:extLst>
            <a:ext uri="{FF2B5EF4-FFF2-40B4-BE49-F238E27FC236}">
              <a16:creationId xmlns:a16="http://schemas.microsoft.com/office/drawing/2014/main" id="{76859196-069B-4E49-8714-7998D05D8EA8}"/>
            </a:ext>
          </a:extLst>
        </xdr:cNvPr>
        <xdr:cNvSpPr/>
      </xdr:nvSpPr>
      <xdr:spPr>
        <a:xfrm>
          <a:off x="4705351" y="9839325"/>
          <a:ext cx="590550" cy="314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14</xdr:col>
      <xdr:colOff>122464</xdr:colOff>
      <xdr:row>1</xdr:row>
      <xdr:rowOff>51706</xdr:rowOff>
    </xdr:from>
    <xdr:to>
      <xdr:col>14</xdr:col>
      <xdr:colOff>1363420</xdr:colOff>
      <xdr:row>4</xdr:row>
      <xdr:rowOff>86540</xdr:rowOff>
    </xdr:to>
    <xdr:pic>
      <xdr:nvPicPr>
        <xdr:cNvPr id="2" name="Picture 1" descr="logo">
          <a:extLst>
            <a:ext uri="{FF2B5EF4-FFF2-40B4-BE49-F238E27FC236}">
              <a16:creationId xmlns:a16="http://schemas.microsoft.com/office/drawing/2014/main" id="{D3CCBD60-210B-4E85-BEDC-2FD7996EB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86214" y="242206"/>
          <a:ext cx="1240956" cy="6063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9</xdr:col>
      <xdr:colOff>353785</xdr:colOff>
      <xdr:row>1</xdr:row>
      <xdr:rowOff>38099</xdr:rowOff>
    </xdr:from>
    <xdr:ext cx="1243678" cy="591366"/>
    <xdr:pic>
      <xdr:nvPicPr>
        <xdr:cNvPr id="2" name="Picture 1" descr="logo">
          <a:extLst>
            <a:ext uri="{FF2B5EF4-FFF2-40B4-BE49-F238E27FC236}">
              <a16:creationId xmlns:a16="http://schemas.microsoft.com/office/drawing/2014/main" id="{19B03101-6A4F-40D4-8DFF-B42ACA3B1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40185" y="200024"/>
          <a:ext cx="1243678" cy="59136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23</xdr:row>
      <xdr:rowOff>28575</xdr:rowOff>
    </xdr:from>
    <xdr:to>
      <xdr:col>1</xdr:col>
      <xdr:colOff>0</xdr:colOff>
      <xdr:row>24</xdr:row>
      <xdr:rowOff>152400</xdr:rowOff>
    </xdr:to>
    <xdr:sp macro="" textlink="">
      <xdr:nvSpPr>
        <xdr:cNvPr id="3" name="Arrow: Right 2">
          <a:extLst>
            <a:ext uri="{FF2B5EF4-FFF2-40B4-BE49-F238E27FC236}">
              <a16:creationId xmlns:a16="http://schemas.microsoft.com/office/drawing/2014/main" id="{F985C92D-D30F-42AE-BF9F-A431CCAD6164}"/>
            </a:ext>
          </a:extLst>
        </xdr:cNvPr>
        <xdr:cNvSpPr/>
      </xdr:nvSpPr>
      <xdr:spPr>
        <a:xfrm>
          <a:off x="609600" y="3752850"/>
          <a:ext cx="0" cy="285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28</xdr:row>
      <xdr:rowOff>266700</xdr:rowOff>
    </xdr:from>
    <xdr:to>
      <xdr:col>1</xdr:col>
      <xdr:colOff>0</xdr:colOff>
      <xdr:row>28</xdr:row>
      <xdr:rowOff>581025</xdr:rowOff>
    </xdr:to>
    <xdr:sp macro="" textlink="">
      <xdr:nvSpPr>
        <xdr:cNvPr id="4" name="Arrow: Right 3">
          <a:extLst>
            <a:ext uri="{FF2B5EF4-FFF2-40B4-BE49-F238E27FC236}">
              <a16:creationId xmlns:a16="http://schemas.microsoft.com/office/drawing/2014/main" id="{D618F0F9-0B0E-42D4-8868-5D7F0376424C}"/>
            </a:ext>
          </a:extLst>
        </xdr:cNvPr>
        <xdr:cNvSpPr/>
      </xdr:nvSpPr>
      <xdr:spPr>
        <a:xfrm>
          <a:off x="609600" y="4695825"/>
          <a:ext cx="0" cy="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590550</xdr:colOff>
      <xdr:row>1</xdr:row>
      <xdr:rowOff>66675</xdr:rowOff>
    </xdr:from>
    <xdr:to>
      <xdr:col>10</xdr:col>
      <xdr:colOff>620471</xdr:colOff>
      <xdr:row>4</xdr:row>
      <xdr:rowOff>4156</xdr:rowOff>
    </xdr:to>
    <xdr:pic>
      <xdr:nvPicPr>
        <xdr:cNvPr id="2" name="Picture 1" descr="logo">
          <a:extLst>
            <a:ext uri="{FF2B5EF4-FFF2-40B4-BE49-F238E27FC236}">
              <a16:creationId xmlns:a16="http://schemas.microsoft.com/office/drawing/2014/main" id="{4780EC45-6867-463D-A602-2BA81F325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15475" y="247650"/>
          <a:ext cx="1249121" cy="594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590550</xdr:colOff>
      <xdr:row>1</xdr:row>
      <xdr:rowOff>66675</xdr:rowOff>
    </xdr:from>
    <xdr:to>
      <xdr:col>10</xdr:col>
      <xdr:colOff>620471</xdr:colOff>
      <xdr:row>3</xdr:row>
      <xdr:rowOff>299431</xdr:rowOff>
    </xdr:to>
    <xdr:pic>
      <xdr:nvPicPr>
        <xdr:cNvPr id="3" name="Picture 2" descr="logo">
          <a:extLst>
            <a:ext uri="{FF2B5EF4-FFF2-40B4-BE49-F238E27FC236}">
              <a16:creationId xmlns:a16="http://schemas.microsoft.com/office/drawing/2014/main" id="{08D9EA62-D598-4504-95C4-6786D7005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15475" y="247650"/>
          <a:ext cx="1249121" cy="594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oneCellAnchor>
    <xdr:from>
      <xdr:col>14</xdr:col>
      <xdr:colOff>122464</xdr:colOff>
      <xdr:row>1</xdr:row>
      <xdr:rowOff>51706</xdr:rowOff>
    </xdr:from>
    <xdr:ext cx="1240956" cy="606334"/>
    <xdr:pic>
      <xdr:nvPicPr>
        <xdr:cNvPr id="2" name="Picture 1" descr="logo">
          <a:extLst>
            <a:ext uri="{FF2B5EF4-FFF2-40B4-BE49-F238E27FC236}">
              <a16:creationId xmlns:a16="http://schemas.microsoft.com/office/drawing/2014/main" id="{866FD6D6-4888-4AF1-9039-452AC0FC3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47264" y="213631"/>
          <a:ext cx="1240956" cy="60633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8</xdr:col>
      <xdr:colOff>190500</xdr:colOff>
      <xdr:row>1</xdr:row>
      <xdr:rowOff>27333</xdr:rowOff>
    </xdr:from>
    <xdr:to>
      <xdr:col>8</xdr:col>
      <xdr:colOff>1438516</xdr:colOff>
      <xdr:row>4</xdr:row>
      <xdr:rowOff>49850</xdr:rowOff>
    </xdr:to>
    <xdr:pic>
      <xdr:nvPicPr>
        <xdr:cNvPr id="2" name="Picture 1" descr="logo">
          <a:extLst>
            <a:ext uri="{FF2B5EF4-FFF2-40B4-BE49-F238E27FC236}">
              <a16:creationId xmlns:a16="http://schemas.microsoft.com/office/drawing/2014/main" id="{61F7B8ED-6151-4DA7-B4D0-A450913CC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0609" y="391768"/>
          <a:ext cx="1251191" cy="5971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156882</xdr:colOff>
      <xdr:row>1</xdr:row>
      <xdr:rowOff>150597</xdr:rowOff>
    </xdr:from>
    <xdr:to>
      <xdr:col>8</xdr:col>
      <xdr:colOff>690897</xdr:colOff>
      <xdr:row>4</xdr:row>
      <xdr:rowOff>168834</xdr:rowOff>
    </xdr:to>
    <xdr:pic>
      <xdr:nvPicPr>
        <xdr:cNvPr id="5" name="Picture 4" descr="logo">
          <a:extLst>
            <a:ext uri="{FF2B5EF4-FFF2-40B4-BE49-F238E27FC236}">
              <a16:creationId xmlns:a16="http://schemas.microsoft.com/office/drawing/2014/main" id="{1F4966FF-73D4-4889-80D9-7BFF23B6F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29147" y="341097"/>
          <a:ext cx="1251191" cy="5897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oneCellAnchor>
    <xdr:from>
      <xdr:col>8</xdr:col>
      <xdr:colOff>190500</xdr:colOff>
      <xdr:row>1</xdr:row>
      <xdr:rowOff>27333</xdr:rowOff>
    </xdr:from>
    <xdr:ext cx="1248016" cy="594017"/>
    <xdr:pic>
      <xdr:nvPicPr>
        <xdr:cNvPr id="2" name="Picture 1" descr="logo">
          <a:extLst>
            <a:ext uri="{FF2B5EF4-FFF2-40B4-BE49-F238E27FC236}">
              <a16:creationId xmlns:a16="http://schemas.microsoft.com/office/drawing/2014/main" id="{3C4172CF-497D-4287-A896-58C1FD690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67300" y="189258"/>
          <a:ext cx="1248016" cy="59401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7</xdr:col>
      <xdr:colOff>156882</xdr:colOff>
      <xdr:row>1</xdr:row>
      <xdr:rowOff>150597</xdr:rowOff>
    </xdr:from>
    <xdr:ext cx="1254366" cy="589737"/>
    <xdr:pic>
      <xdr:nvPicPr>
        <xdr:cNvPr id="2" name="Picture 1" descr="logo">
          <a:extLst>
            <a:ext uri="{FF2B5EF4-FFF2-40B4-BE49-F238E27FC236}">
              <a16:creationId xmlns:a16="http://schemas.microsoft.com/office/drawing/2014/main" id="{9FB80CCE-AC45-437F-BEA7-C47DC0816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24082" y="312522"/>
          <a:ext cx="1254366" cy="58973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12.xml><?xml version="1.0" encoding="utf-8"?>
<xdr:wsDr xmlns:xdr="http://schemas.openxmlformats.org/drawingml/2006/spreadsheetDrawing" xmlns:a="http://schemas.openxmlformats.org/drawingml/2006/main">
  <xdr:twoCellAnchor editAs="oneCell">
    <xdr:from>
      <xdr:col>8</xdr:col>
      <xdr:colOff>200025</xdr:colOff>
      <xdr:row>1</xdr:row>
      <xdr:rowOff>85725</xdr:rowOff>
    </xdr:from>
    <xdr:to>
      <xdr:col>9</xdr:col>
      <xdr:colOff>1346</xdr:colOff>
      <xdr:row>4</xdr:row>
      <xdr:rowOff>106045</xdr:rowOff>
    </xdr:to>
    <xdr:pic>
      <xdr:nvPicPr>
        <xdr:cNvPr id="4" name="Picture 3" descr="logo">
          <a:extLst>
            <a:ext uri="{FF2B5EF4-FFF2-40B4-BE49-F238E27FC236}">
              <a16:creationId xmlns:a16="http://schemas.microsoft.com/office/drawing/2014/main" id="{5A5DCFD4-3824-4369-838C-1F16B4E20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2075" y="276225"/>
          <a:ext cx="1249121" cy="588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8</xdr:col>
      <xdr:colOff>190500</xdr:colOff>
      <xdr:row>1</xdr:row>
      <xdr:rowOff>27333</xdr:rowOff>
    </xdr:from>
    <xdr:to>
      <xdr:col>8</xdr:col>
      <xdr:colOff>1441691</xdr:colOff>
      <xdr:row>4</xdr:row>
      <xdr:rowOff>55095</xdr:rowOff>
    </xdr:to>
    <xdr:pic>
      <xdr:nvPicPr>
        <xdr:cNvPr id="2" name="Picture 1" descr="logo">
          <a:extLst>
            <a:ext uri="{FF2B5EF4-FFF2-40B4-BE49-F238E27FC236}">
              <a16:creationId xmlns:a16="http://schemas.microsoft.com/office/drawing/2014/main" id="{2C1D3603-9F72-433A-AD0D-E914C9271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217833"/>
          <a:ext cx="1251191" cy="5897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190500</xdr:colOff>
      <xdr:row>1</xdr:row>
      <xdr:rowOff>27333</xdr:rowOff>
    </xdr:from>
    <xdr:to>
      <xdr:col>8</xdr:col>
      <xdr:colOff>1441691</xdr:colOff>
      <xdr:row>4</xdr:row>
      <xdr:rowOff>55095</xdr:rowOff>
    </xdr:to>
    <xdr:pic>
      <xdr:nvPicPr>
        <xdr:cNvPr id="3" name="Picture 2" descr="logo">
          <a:extLst>
            <a:ext uri="{FF2B5EF4-FFF2-40B4-BE49-F238E27FC236}">
              <a16:creationId xmlns:a16="http://schemas.microsoft.com/office/drawing/2014/main" id="{043E40D2-2F1F-4D8A-9E1B-DDFF82DFA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217833"/>
          <a:ext cx="1251191" cy="5897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8</xdr:col>
      <xdr:colOff>200025</xdr:colOff>
      <xdr:row>1</xdr:row>
      <xdr:rowOff>85725</xdr:rowOff>
    </xdr:from>
    <xdr:ext cx="1250777" cy="591820"/>
    <xdr:pic>
      <xdr:nvPicPr>
        <xdr:cNvPr id="2" name="Picture 1" descr="logo">
          <a:extLst>
            <a:ext uri="{FF2B5EF4-FFF2-40B4-BE49-F238E27FC236}">
              <a16:creationId xmlns:a16="http://schemas.microsoft.com/office/drawing/2014/main" id="{ABB1DB1D-677F-4D35-80E4-40474625D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6825" y="247650"/>
          <a:ext cx="1250777" cy="5918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15.xml><?xml version="1.0" encoding="utf-8"?>
<xdr:wsDr xmlns:xdr="http://schemas.openxmlformats.org/drawingml/2006/spreadsheetDrawing" xmlns:a="http://schemas.openxmlformats.org/drawingml/2006/main">
  <xdr:oneCellAnchor>
    <xdr:from>
      <xdr:col>8</xdr:col>
      <xdr:colOff>190500</xdr:colOff>
      <xdr:row>1</xdr:row>
      <xdr:rowOff>27333</xdr:rowOff>
    </xdr:from>
    <xdr:ext cx="1248016" cy="599262"/>
    <xdr:pic>
      <xdr:nvPicPr>
        <xdr:cNvPr id="2" name="Picture 1" descr="logo">
          <a:extLst>
            <a:ext uri="{FF2B5EF4-FFF2-40B4-BE49-F238E27FC236}">
              <a16:creationId xmlns:a16="http://schemas.microsoft.com/office/drawing/2014/main" id="{31451769-92FC-460E-9235-42F9497C0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67300" y="189258"/>
          <a:ext cx="1248016" cy="59926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190500</xdr:colOff>
      <xdr:row>1</xdr:row>
      <xdr:rowOff>27333</xdr:rowOff>
    </xdr:from>
    <xdr:ext cx="1248016" cy="599262"/>
    <xdr:pic>
      <xdr:nvPicPr>
        <xdr:cNvPr id="3" name="Picture 2" descr="logo">
          <a:extLst>
            <a:ext uri="{FF2B5EF4-FFF2-40B4-BE49-F238E27FC236}">
              <a16:creationId xmlns:a16="http://schemas.microsoft.com/office/drawing/2014/main" id="{219184F7-00C5-4E22-9721-0AE8BB84E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67300" y="189258"/>
          <a:ext cx="1248016" cy="59926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16.xml><?xml version="1.0" encoding="utf-8"?>
<xdr:wsDr xmlns:xdr="http://schemas.openxmlformats.org/drawingml/2006/spreadsheetDrawing" xmlns:a="http://schemas.openxmlformats.org/drawingml/2006/main">
  <xdr:oneCellAnchor>
    <xdr:from>
      <xdr:col>8</xdr:col>
      <xdr:colOff>419100</xdr:colOff>
      <xdr:row>1</xdr:row>
      <xdr:rowOff>57150</xdr:rowOff>
    </xdr:from>
    <xdr:ext cx="1249121" cy="588645"/>
    <xdr:pic>
      <xdr:nvPicPr>
        <xdr:cNvPr id="3" name="Picture 2" descr="logo">
          <a:extLst>
            <a:ext uri="{FF2B5EF4-FFF2-40B4-BE49-F238E27FC236}">
              <a16:creationId xmlns:a16="http://schemas.microsoft.com/office/drawing/2014/main" id="{0BCD10EA-B579-42FD-97BD-62015AF71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247650"/>
          <a:ext cx="1249121" cy="58864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17.xml><?xml version="1.0" encoding="utf-8"?>
<xdr:wsDr xmlns:xdr="http://schemas.openxmlformats.org/drawingml/2006/spreadsheetDrawing" xmlns:a="http://schemas.openxmlformats.org/drawingml/2006/main">
  <xdr:twoCellAnchor editAs="oneCell">
    <xdr:from>
      <xdr:col>8</xdr:col>
      <xdr:colOff>171450</xdr:colOff>
      <xdr:row>1</xdr:row>
      <xdr:rowOff>95250</xdr:rowOff>
    </xdr:from>
    <xdr:to>
      <xdr:col>8</xdr:col>
      <xdr:colOff>1420571</xdr:colOff>
      <xdr:row>4</xdr:row>
      <xdr:rowOff>112395</xdr:rowOff>
    </xdr:to>
    <xdr:pic>
      <xdr:nvPicPr>
        <xdr:cNvPr id="4" name="Picture 3" descr="logo">
          <a:extLst>
            <a:ext uri="{FF2B5EF4-FFF2-40B4-BE49-F238E27FC236}">
              <a16:creationId xmlns:a16="http://schemas.microsoft.com/office/drawing/2014/main" id="{364F85D4-7E21-467A-9F07-BC2C30538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85750"/>
          <a:ext cx="1249121" cy="588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8</xdr:col>
      <xdr:colOff>171450</xdr:colOff>
      <xdr:row>1</xdr:row>
      <xdr:rowOff>95250</xdr:rowOff>
    </xdr:from>
    <xdr:to>
      <xdr:col>8</xdr:col>
      <xdr:colOff>1420571</xdr:colOff>
      <xdr:row>4</xdr:row>
      <xdr:rowOff>112395</xdr:rowOff>
    </xdr:to>
    <xdr:pic>
      <xdr:nvPicPr>
        <xdr:cNvPr id="2" name="Picture 1" descr="logo">
          <a:extLst>
            <a:ext uri="{FF2B5EF4-FFF2-40B4-BE49-F238E27FC236}">
              <a16:creationId xmlns:a16="http://schemas.microsoft.com/office/drawing/2014/main" id="{E498C5E7-632F-44D8-949B-EE78FB488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285750"/>
          <a:ext cx="1249121" cy="588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7</xdr:col>
      <xdr:colOff>1986583</xdr:colOff>
      <xdr:row>1</xdr:row>
      <xdr:rowOff>59220</xdr:rowOff>
    </xdr:from>
    <xdr:to>
      <xdr:col>9</xdr:col>
      <xdr:colOff>50212</xdr:colOff>
      <xdr:row>4</xdr:row>
      <xdr:rowOff>76365</xdr:rowOff>
    </xdr:to>
    <xdr:pic>
      <xdr:nvPicPr>
        <xdr:cNvPr id="3" name="Picture 2" descr="logo">
          <a:extLst>
            <a:ext uri="{FF2B5EF4-FFF2-40B4-BE49-F238E27FC236}">
              <a16:creationId xmlns:a16="http://schemas.microsoft.com/office/drawing/2014/main" id="{0F756097-D8DC-49BA-B7A0-932FE31BD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49908" y="249720"/>
          <a:ext cx="1244979" cy="588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oneCellAnchor>
    <xdr:from>
      <xdr:col>8</xdr:col>
      <xdr:colOff>419100</xdr:colOff>
      <xdr:row>1</xdr:row>
      <xdr:rowOff>57150</xdr:rowOff>
    </xdr:from>
    <xdr:ext cx="1249121" cy="588645"/>
    <xdr:pic>
      <xdr:nvPicPr>
        <xdr:cNvPr id="2" name="Picture 1" descr="logo">
          <a:extLst>
            <a:ext uri="{FF2B5EF4-FFF2-40B4-BE49-F238E27FC236}">
              <a16:creationId xmlns:a16="http://schemas.microsoft.com/office/drawing/2014/main" id="{DC466D01-0364-4481-9AB5-998762E35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219075"/>
          <a:ext cx="1249121" cy="58864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1.xml><?xml version="1.0" encoding="utf-8"?>
<xdr:wsDr xmlns:xdr="http://schemas.openxmlformats.org/drawingml/2006/spreadsheetDrawing" xmlns:a="http://schemas.openxmlformats.org/drawingml/2006/main">
  <xdr:oneCellAnchor>
    <xdr:from>
      <xdr:col>8</xdr:col>
      <xdr:colOff>171450</xdr:colOff>
      <xdr:row>1</xdr:row>
      <xdr:rowOff>95250</xdr:rowOff>
    </xdr:from>
    <xdr:ext cx="1245946" cy="588645"/>
    <xdr:pic>
      <xdr:nvPicPr>
        <xdr:cNvPr id="2" name="Picture 1" descr="logo">
          <a:extLst>
            <a:ext uri="{FF2B5EF4-FFF2-40B4-BE49-F238E27FC236}">
              <a16:creationId xmlns:a16="http://schemas.microsoft.com/office/drawing/2014/main" id="{83251844-B6EE-4B77-A37D-E2DD0AE65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48250" y="257175"/>
          <a:ext cx="1245946" cy="58864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2.xml><?xml version="1.0" encoding="utf-8"?>
<xdr:wsDr xmlns:xdr="http://schemas.openxmlformats.org/drawingml/2006/spreadsheetDrawing" xmlns:a="http://schemas.openxmlformats.org/drawingml/2006/main">
  <xdr:oneCellAnchor>
    <xdr:from>
      <xdr:col>8</xdr:col>
      <xdr:colOff>171450</xdr:colOff>
      <xdr:row>1</xdr:row>
      <xdr:rowOff>95250</xdr:rowOff>
    </xdr:from>
    <xdr:ext cx="1245946" cy="588645"/>
    <xdr:pic>
      <xdr:nvPicPr>
        <xdr:cNvPr id="2" name="Picture 1" descr="logo">
          <a:extLst>
            <a:ext uri="{FF2B5EF4-FFF2-40B4-BE49-F238E27FC236}">
              <a16:creationId xmlns:a16="http://schemas.microsoft.com/office/drawing/2014/main" id="{60D985D7-8EFD-4858-BA51-50EB781FE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48250" y="257175"/>
          <a:ext cx="1245946" cy="58864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3.xml><?xml version="1.0" encoding="utf-8"?>
<xdr:wsDr xmlns:xdr="http://schemas.openxmlformats.org/drawingml/2006/spreadsheetDrawing" xmlns:a="http://schemas.openxmlformats.org/drawingml/2006/main">
  <xdr:twoCellAnchor>
    <xdr:from>
      <xdr:col>7</xdr:col>
      <xdr:colOff>19050</xdr:colOff>
      <xdr:row>8</xdr:row>
      <xdr:rowOff>76200</xdr:rowOff>
    </xdr:from>
    <xdr:to>
      <xdr:col>8</xdr:col>
      <xdr:colOff>495300</xdr:colOff>
      <xdr:row>14</xdr:row>
      <xdr:rowOff>0</xdr:rowOff>
    </xdr:to>
    <xdr:sp macro="" textlink="">
      <xdr:nvSpPr>
        <xdr:cNvPr id="2" name="Arrow: Right 1">
          <a:extLst>
            <a:ext uri="{FF2B5EF4-FFF2-40B4-BE49-F238E27FC236}">
              <a16:creationId xmlns:a16="http://schemas.microsoft.com/office/drawing/2014/main" id="{D5F0504F-CF35-40DF-845F-115F85346AD0}"/>
            </a:ext>
          </a:extLst>
        </xdr:cNvPr>
        <xdr:cNvSpPr/>
      </xdr:nvSpPr>
      <xdr:spPr>
        <a:xfrm>
          <a:off x="8648700" y="5791200"/>
          <a:ext cx="1085850" cy="14478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10</xdr:col>
      <xdr:colOff>342900</xdr:colOff>
      <xdr:row>1</xdr:row>
      <xdr:rowOff>66675</xdr:rowOff>
    </xdr:from>
    <xdr:to>
      <xdr:col>11</xdr:col>
      <xdr:colOff>582371</xdr:colOff>
      <xdr:row>3</xdr:row>
      <xdr:rowOff>293370</xdr:rowOff>
    </xdr:to>
    <xdr:pic>
      <xdr:nvPicPr>
        <xdr:cNvPr id="3" name="Picture 2" descr="logo">
          <a:extLst>
            <a:ext uri="{FF2B5EF4-FFF2-40B4-BE49-F238E27FC236}">
              <a16:creationId xmlns:a16="http://schemas.microsoft.com/office/drawing/2014/main" id="{A3236A9D-450C-4347-9234-1D941F7BD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3525" y="333375"/>
          <a:ext cx="1249121" cy="588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7</xdr:col>
      <xdr:colOff>168086</xdr:colOff>
      <xdr:row>1</xdr:row>
      <xdr:rowOff>47624</xdr:rowOff>
    </xdr:from>
    <xdr:to>
      <xdr:col>8</xdr:col>
      <xdr:colOff>691575</xdr:colOff>
      <xdr:row>4</xdr:row>
      <xdr:rowOff>62323</xdr:rowOff>
    </xdr:to>
    <xdr:pic>
      <xdr:nvPicPr>
        <xdr:cNvPr id="3" name="Picture 2" descr="logo">
          <a:extLst>
            <a:ext uri="{FF2B5EF4-FFF2-40B4-BE49-F238E27FC236}">
              <a16:creationId xmlns:a16="http://schemas.microsoft.com/office/drawing/2014/main" id="{48616A31-4322-49BC-916E-8E31CDC10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0174" y="238124"/>
          <a:ext cx="1240666" cy="586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7</xdr:col>
      <xdr:colOff>190440</xdr:colOff>
      <xdr:row>1</xdr:row>
      <xdr:rowOff>71466</xdr:rowOff>
    </xdr:from>
    <xdr:to>
      <xdr:col>8</xdr:col>
      <xdr:colOff>714241</xdr:colOff>
      <xdr:row>3</xdr:row>
      <xdr:rowOff>288636</xdr:rowOff>
    </xdr:to>
    <xdr:pic>
      <xdr:nvPicPr>
        <xdr:cNvPr id="2" name="Picture 1" descr="logo">
          <a:extLst>
            <a:ext uri="{FF2B5EF4-FFF2-40B4-BE49-F238E27FC236}">
              <a16:creationId xmlns:a16="http://schemas.microsoft.com/office/drawing/2014/main" id="{FC391FBF-3581-462B-844C-C1B28C3D2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3940" y="261966"/>
          <a:ext cx="1244979" cy="5981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7</xdr:col>
      <xdr:colOff>358587</xdr:colOff>
      <xdr:row>1</xdr:row>
      <xdr:rowOff>58830</xdr:rowOff>
    </xdr:from>
    <xdr:to>
      <xdr:col>8</xdr:col>
      <xdr:colOff>545900</xdr:colOff>
      <xdr:row>4</xdr:row>
      <xdr:rowOff>73529</xdr:rowOff>
    </xdr:to>
    <xdr:pic>
      <xdr:nvPicPr>
        <xdr:cNvPr id="2" name="Picture 1" descr="logo">
          <a:extLst>
            <a:ext uri="{FF2B5EF4-FFF2-40B4-BE49-F238E27FC236}">
              <a16:creationId xmlns:a16="http://schemas.microsoft.com/office/drawing/2014/main" id="{5476140E-3332-4331-B616-B84B780EE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18058" y="249330"/>
          <a:ext cx="1240666" cy="586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oneCellAnchor>
    <xdr:from>
      <xdr:col>8</xdr:col>
      <xdr:colOff>419100</xdr:colOff>
      <xdr:row>1</xdr:row>
      <xdr:rowOff>57150</xdr:rowOff>
    </xdr:from>
    <xdr:ext cx="1249121" cy="588645"/>
    <xdr:pic>
      <xdr:nvPicPr>
        <xdr:cNvPr id="2" name="Picture 1" descr="logo">
          <a:extLst>
            <a:ext uri="{FF2B5EF4-FFF2-40B4-BE49-F238E27FC236}">
              <a16:creationId xmlns:a16="http://schemas.microsoft.com/office/drawing/2014/main" id="{98E1D1B0-16E6-4A4D-81C4-87A716F96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247650"/>
          <a:ext cx="1249121" cy="58864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8.xml><?xml version="1.0" encoding="utf-8"?>
<xdr:wsDr xmlns:xdr="http://schemas.openxmlformats.org/drawingml/2006/spreadsheetDrawing" xmlns:a="http://schemas.openxmlformats.org/drawingml/2006/main">
  <xdr:twoCellAnchor editAs="oneCell">
    <xdr:from>
      <xdr:col>7</xdr:col>
      <xdr:colOff>728381</xdr:colOff>
      <xdr:row>1</xdr:row>
      <xdr:rowOff>58830</xdr:rowOff>
    </xdr:from>
    <xdr:to>
      <xdr:col>9</xdr:col>
      <xdr:colOff>1294</xdr:colOff>
      <xdr:row>4</xdr:row>
      <xdr:rowOff>73529</xdr:rowOff>
    </xdr:to>
    <xdr:pic>
      <xdr:nvPicPr>
        <xdr:cNvPr id="2" name="Picture 1" descr="logo">
          <a:extLst>
            <a:ext uri="{FF2B5EF4-FFF2-40B4-BE49-F238E27FC236}">
              <a16:creationId xmlns:a16="http://schemas.microsoft.com/office/drawing/2014/main" id="{981AB5C1-6909-4195-A387-64D1C774E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7999" y="249330"/>
          <a:ext cx="1240666" cy="586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oneCellAnchor>
    <xdr:from>
      <xdr:col>7</xdr:col>
      <xdr:colOff>1181100</xdr:colOff>
      <xdr:row>1</xdr:row>
      <xdr:rowOff>47625</xdr:rowOff>
    </xdr:from>
    <xdr:ext cx="1249121" cy="588645"/>
    <xdr:pic>
      <xdr:nvPicPr>
        <xdr:cNvPr id="2" name="Picture 1" descr="logo">
          <a:extLst>
            <a:ext uri="{FF2B5EF4-FFF2-40B4-BE49-F238E27FC236}">
              <a16:creationId xmlns:a16="http://schemas.microsoft.com/office/drawing/2014/main" id="{73F0444C-B426-403E-B6FF-A1F2632DD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15650" y="238125"/>
          <a:ext cx="1249121" cy="58864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0.xml><?xml version="1.0" encoding="utf-8"?>
<xdr:wsDr xmlns:xdr="http://schemas.openxmlformats.org/drawingml/2006/spreadsheetDrawing" xmlns:a="http://schemas.openxmlformats.org/drawingml/2006/main">
  <xdr:oneCellAnchor>
    <xdr:from>
      <xdr:col>7</xdr:col>
      <xdr:colOff>857250</xdr:colOff>
      <xdr:row>1</xdr:row>
      <xdr:rowOff>47625</xdr:rowOff>
    </xdr:from>
    <xdr:ext cx="1249121" cy="588645"/>
    <xdr:pic>
      <xdr:nvPicPr>
        <xdr:cNvPr id="2" name="Picture 1" descr="logo">
          <a:extLst>
            <a:ext uri="{FF2B5EF4-FFF2-40B4-BE49-F238E27FC236}">
              <a16:creationId xmlns:a16="http://schemas.microsoft.com/office/drawing/2014/main" id="{C647FB31-D99F-42FA-A92C-B9BA005DA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91550" y="238125"/>
          <a:ext cx="1249121" cy="58864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1.xml><?xml version="1.0" encoding="utf-8"?>
<xdr:wsDr xmlns:xdr="http://schemas.openxmlformats.org/drawingml/2006/spreadsheetDrawing" xmlns:a="http://schemas.openxmlformats.org/drawingml/2006/main">
  <xdr:oneCellAnchor>
    <xdr:from>
      <xdr:col>8</xdr:col>
      <xdr:colOff>419100</xdr:colOff>
      <xdr:row>1</xdr:row>
      <xdr:rowOff>57150</xdr:rowOff>
    </xdr:from>
    <xdr:ext cx="1249121" cy="588645"/>
    <xdr:pic>
      <xdr:nvPicPr>
        <xdr:cNvPr id="2" name="Picture 1" descr="logo">
          <a:extLst>
            <a:ext uri="{FF2B5EF4-FFF2-40B4-BE49-F238E27FC236}">
              <a16:creationId xmlns:a16="http://schemas.microsoft.com/office/drawing/2014/main" id="{A5401162-C720-4F11-8050-9515DBD1D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247650"/>
          <a:ext cx="1249121" cy="58864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2.xml><?xml version="1.0" encoding="utf-8"?>
<xdr:wsDr xmlns:xdr="http://schemas.openxmlformats.org/drawingml/2006/spreadsheetDrawing" xmlns:a="http://schemas.openxmlformats.org/drawingml/2006/main">
  <xdr:oneCellAnchor>
    <xdr:from>
      <xdr:col>4</xdr:col>
      <xdr:colOff>295275</xdr:colOff>
      <xdr:row>1</xdr:row>
      <xdr:rowOff>38100</xdr:rowOff>
    </xdr:from>
    <xdr:ext cx="1249121" cy="588645"/>
    <xdr:pic>
      <xdr:nvPicPr>
        <xdr:cNvPr id="2" name="Picture 1" descr="logo">
          <a:extLst>
            <a:ext uri="{FF2B5EF4-FFF2-40B4-BE49-F238E27FC236}">
              <a16:creationId xmlns:a16="http://schemas.microsoft.com/office/drawing/2014/main" id="{D6AA3E56-C792-4240-B0D2-4041F3E592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15900" y="200025"/>
          <a:ext cx="1249121" cy="58864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3.xml><?xml version="1.0" encoding="utf-8"?>
<xdr:wsDr xmlns:xdr="http://schemas.openxmlformats.org/drawingml/2006/spreadsheetDrawing" xmlns:a="http://schemas.openxmlformats.org/drawingml/2006/main">
  <xdr:twoCellAnchor editAs="oneCell">
    <xdr:from>
      <xdr:col>9</xdr:col>
      <xdr:colOff>571500</xdr:colOff>
      <xdr:row>1</xdr:row>
      <xdr:rowOff>57150</xdr:rowOff>
    </xdr:from>
    <xdr:to>
      <xdr:col>11</xdr:col>
      <xdr:colOff>601421</xdr:colOff>
      <xdr:row>3</xdr:row>
      <xdr:rowOff>283845</xdr:rowOff>
    </xdr:to>
    <xdr:pic>
      <xdr:nvPicPr>
        <xdr:cNvPr id="2" name="Picture 1" descr="logo">
          <a:extLst>
            <a:ext uri="{FF2B5EF4-FFF2-40B4-BE49-F238E27FC236}">
              <a16:creationId xmlns:a16="http://schemas.microsoft.com/office/drawing/2014/main" id="{2F92E20F-189C-4831-995B-5E0CA86E2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91400" y="314325"/>
          <a:ext cx="1249121" cy="6457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oneCellAnchor>
    <xdr:from>
      <xdr:col>7</xdr:col>
      <xdr:colOff>1986583</xdr:colOff>
      <xdr:row>1</xdr:row>
      <xdr:rowOff>59220</xdr:rowOff>
    </xdr:from>
    <xdr:ext cx="1244979" cy="588645"/>
    <xdr:pic>
      <xdr:nvPicPr>
        <xdr:cNvPr id="2" name="Picture 1" descr="logo">
          <a:extLst>
            <a:ext uri="{FF2B5EF4-FFF2-40B4-BE49-F238E27FC236}">
              <a16:creationId xmlns:a16="http://schemas.microsoft.com/office/drawing/2014/main" id="{FA31E88E-B10B-4899-8D14-7A12BBEDA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72658" y="221145"/>
          <a:ext cx="1244979" cy="58864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5.xml><?xml version="1.0" encoding="utf-8"?>
<xdr:wsDr xmlns:xdr="http://schemas.openxmlformats.org/drawingml/2006/spreadsheetDrawing" xmlns:a="http://schemas.openxmlformats.org/drawingml/2006/main">
  <xdr:twoCellAnchor editAs="oneCell">
    <xdr:from>
      <xdr:col>8</xdr:col>
      <xdr:colOff>180975</xdr:colOff>
      <xdr:row>1</xdr:row>
      <xdr:rowOff>47625</xdr:rowOff>
    </xdr:from>
    <xdr:to>
      <xdr:col>8</xdr:col>
      <xdr:colOff>1430096</xdr:colOff>
      <xdr:row>4</xdr:row>
      <xdr:rowOff>112395</xdr:rowOff>
    </xdr:to>
    <xdr:pic>
      <xdr:nvPicPr>
        <xdr:cNvPr id="2" name="Picture 1" descr="logo">
          <a:extLst>
            <a:ext uri="{FF2B5EF4-FFF2-40B4-BE49-F238E27FC236}">
              <a16:creationId xmlns:a16="http://schemas.microsoft.com/office/drawing/2014/main" id="{98688F7B-6659-4155-A7DE-A43811FDE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38125"/>
          <a:ext cx="1249121" cy="6362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oneCellAnchor>
    <xdr:from>
      <xdr:col>8</xdr:col>
      <xdr:colOff>180975</xdr:colOff>
      <xdr:row>1</xdr:row>
      <xdr:rowOff>47625</xdr:rowOff>
    </xdr:from>
    <xdr:ext cx="1249121" cy="636270"/>
    <xdr:pic>
      <xdr:nvPicPr>
        <xdr:cNvPr id="2" name="Picture 1" descr="logo">
          <a:extLst>
            <a:ext uri="{FF2B5EF4-FFF2-40B4-BE49-F238E27FC236}">
              <a16:creationId xmlns:a16="http://schemas.microsoft.com/office/drawing/2014/main" id="{49EB03FF-C347-4921-90C6-0106BC046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57775" y="209550"/>
          <a:ext cx="1249121" cy="6362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7.xml><?xml version="1.0" encoding="utf-8"?>
<xdr:wsDr xmlns:xdr="http://schemas.openxmlformats.org/drawingml/2006/spreadsheetDrawing" xmlns:a="http://schemas.openxmlformats.org/drawingml/2006/main">
  <xdr:twoCellAnchor editAs="oneCell">
    <xdr:from>
      <xdr:col>6</xdr:col>
      <xdr:colOff>1247775</xdr:colOff>
      <xdr:row>1</xdr:row>
      <xdr:rowOff>38100</xdr:rowOff>
    </xdr:from>
    <xdr:to>
      <xdr:col>8</xdr:col>
      <xdr:colOff>610946</xdr:colOff>
      <xdr:row>4</xdr:row>
      <xdr:rowOff>55245</xdr:rowOff>
    </xdr:to>
    <xdr:pic>
      <xdr:nvPicPr>
        <xdr:cNvPr id="2" name="Picture 1" descr="logo">
          <a:extLst>
            <a:ext uri="{FF2B5EF4-FFF2-40B4-BE49-F238E27FC236}">
              <a16:creationId xmlns:a16="http://schemas.microsoft.com/office/drawing/2014/main" id="{17F267E0-CAEC-467E-9E7A-C67BFE404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43675" y="200025"/>
          <a:ext cx="1249121" cy="588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oneCellAnchor>
    <xdr:from>
      <xdr:col>6</xdr:col>
      <xdr:colOff>1247775</xdr:colOff>
      <xdr:row>1</xdr:row>
      <xdr:rowOff>38100</xdr:rowOff>
    </xdr:from>
    <xdr:ext cx="1249121" cy="588645"/>
    <xdr:pic>
      <xdr:nvPicPr>
        <xdr:cNvPr id="2" name="Picture 1" descr="logo">
          <a:extLst>
            <a:ext uri="{FF2B5EF4-FFF2-40B4-BE49-F238E27FC236}">
              <a16:creationId xmlns:a16="http://schemas.microsoft.com/office/drawing/2014/main" id="{D6CA5C5B-6AF2-4DA3-BA66-D7A288946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200025"/>
          <a:ext cx="1249121" cy="58864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9.xml><?xml version="1.0" encoding="utf-8"?>
<xdr:wsDr xmlns:xdr="http://schemas.openxmlformats.org/drawingml/2006/spreadsheetDrawing" xmlns:a="http://schemas.openxmlformats.org/drawingml/2006/main">
  <xdr:twoCellAnchor editAs="oneCell">
    <xdr:from>
      <xdr:col>8</xdr:col>
      <xdr:colOff>180975</xdr:colOff>
      <xdr:row>1</xdr:row>
      <xdr:rowOff>47625</xdr:rowOff>
    </xdr:from>
    <xdr:to>
      <xdr:col>8</xdr:col>
      <xdr:colOff>1430096</xdr:colOff>
      <xdr:row>4</xdr:row>
      <xdr:rowOff>115570</xdr:rowOff>
    </xdr:to>
    <xdr:pic>
      <xdr:nvPicPr>
        <xdr:cNvPr id="2" name="Picture 1" descr="logo">
          <a:extLst>
            <a:ext uri="{FF2B5EF4-FFF2-40B4-BE49-F238E27FC236}">
              <a16:creationId xmlns:a16="http://schemas.microsoft.com/office/drawing/2014/main" id="{40153806-C27B-4CBF-A851-22B3C33FD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72650" y="238125"/>
          <a:ext cx="1249121" cy="6362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oneCellAnchor>
    <xdr:from>
      <xdr:col>8</xdr:col>
      <xdr:colOff>180975</xdr:colOff>
      <xdr:row>1</xdr:row>
      <xdr:rowOff>47625</xdr:rowOff>
    </xdr:from>
    <xdr:ext cx="1249121" cy="636270"/>
    <xdr:pic>
      <xdr:nvPicPr>
        <xdr:cNvPr id="2" name="Picture 1" descr="logo">
          <a:extLst>
            <a:ext uri="{FF2B5EF4-FFF2-40B4-BE49-F238E27FC236}">
              <a16:creationId xmlns:a16="http://schemas.microsoft.com/office/drawing/2014/main" id="{861836CC-FC52-4830-99FD-CE76ECC6E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57775" y="209550"/>
          <a:ext cx="1249121" cy="6362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1.xml><?xml version="1.0" encoding="utf-8"?>
<xdr:wsDr xmlns:xdr="http://schemas.openxmlformats.org/drawingml/2006/spreadsheetDrawing" xmlns:a="http://schemas.openxmlformats.org/drawingml/2006/main">
  <xdr:twoCellAnchor editAs="oneCell">
    <xdr:from>
      <xdr:col>8</xdr:col>
      <xdr:colOff>104775</xdr:colOff>
      <xdr:row>1</xdr:row>
      <xdr:rowOff>66675</xdr:rowOff>
    </xdr:from>
    <xdr:to>
      <xdr:col>8</xdr:col>
      <xdr:colOff>1353896</xdr:colOff>
      <xdr:row>4</xdr:row>
      <xdr:rowOff>184113</xdr:rowOff>
    </xdr:to>
    <xdr:pic>
      <xdr:nvPicPr>
        <xdr:cNvPr id="2" name="Picture 1" descr="logo">
          <a:extLst>
            <a:ext uri="{FF2B5EF4-FFF2-40B4-BE49-F238E27FC236}">
              <a16:creationId xmlns:a16="http://schemas.microsoft.com/office/drawing/2014/main" id="{EC616C56-42F2-4F3A-A2C9-C13500029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228600"/>
          <a:ext cx="1249121" cy="5981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oneCellAnchor>
    <xdr:from>
      <xdr:col>8</xdr:col>
      <xdr:colOff>104775</xdr:colOff>
      <xdr:row>1</xdr:row>
      <xdr:rowOff>66675</xdr:rowOff>
    </xdr:from>
    <xdr:ext cx="1249121" cy="588085"/>
    <xdr:pic>
      <xdr:nvPicPr>
        <xdr:cNvPr id="2" name="Picture 1" descr="logo">
          <a:extLst>
            <a:ext uri="{FF2B5EF4-FFF2-40B4-BE49-F238E27FC236}">
              <a16:creationId xmlns:a16="http://schemas.microsoft.com/office/drawing/2014/main" id="{251BEC48-752C-42DC-87C6-6782815AD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81575" y="228600"/>
          <a:ext cx="1249121" cy="5880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3.xml><?xml version="1.0" encoding="utf-8"?>
<xdr:wsDr xmlns:xdr="http://schemas.openxmlformats.org/drawingml/2006/spreadsheetDrawing" xmlns:a="http://schemas.openxmlformats.org/drawingml/2006/main">
  <xdr:twoCellAnchor editAs="oneCell">
    <xdr:from>
      <xdr:col>7</xdr:col>
      <xdr:colOff>876300</xdr:colOff>
      <xdr:row>1</xdr:row>
      <xdr:rowOff>66675</xdr:rowOff>
    </xdr:from>
    <xdr:to>
      <xdr:col>9</xdr:col>
      <xdr:colOff>29921</xdr:colOff>
      <xdr:row>4</xdr:row>
      <xdr:rowOff>179070</xdr:rowOff>
    </xdr:to>
    <xdr:pic>
      <xdr:nvPicPr>
        <xdr:cNvPr id="2" name="Picture 1" descr="logo">
          <a:extLst>
            <a:ext uri="{FF2B5EF4-FFF2-40B4-BE49-F238E27FC236}">
              <a16:creationId xmlns:a16="http://schemas.microsoft.com/office/drawing/2014/main" id="{F646AFB9-4AF8-42A0-99E5-6953EF4BF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20400" y="228600"/>
          <a:ext cx="1249121" cy="5981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oneCellAnchor>
    <xdr:from>
      <xdr:col>7</xdr:col>
      <xdr:colOff>876300</xdr:colOff>
      <xdr:row>1</xdr:row>
      <xdr:rowOff>66675</xdr:rowOff>
    </xdr:from>
    <xdr:ext cx="1249121" cy="598170"/>
    <xdr:pic>
      <xdr:nvPicPr>
        <xdr:cNvPr id="2" name="Picture 1" descr="logo">
          <a:extLst>
            <a:ext uri="{FF2B5EF4-FFF2-40B4-BE49-F238E27FC236}">
              <a16:creationId xmlns:a16="http://schemas.microsoft.com/office/drawing/2014/main" id="{341D890F-AB61-4895-B4E8-3E7167F32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76800" y="228600"/>
          <a:ext cx="1249121" cy="5981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 xr:uid="{492F19B2-764E-446F-BE53-90A82F2A9197}" name="Table75133" displayName="Table75133" ref="E10:F19" totalsRowShown="0" headerRowDxfId="1324">
  <autoFilter ref="E10:F19" xr:uid="{1DA841D8-0025-49D1-8CFE-C740DAF4F5D8}"/>
  <tableColumns count="2">
    <tableColumn id="1" xr3:uid="{29C6F27C-D5D7-4022-9A57-F48B79CBD2A6}" name="Item" dataDxfId="1323"/>
    <tableColumn id="2" xr3:uid="{1A838D86-140B-4614-9733-B3A0B2BC250D}" name="Value"/>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 xr:uid="{5978F53B-9FFB-4BD6-A0D0-A5DDBC41C7C9}" name="Table76134" displayName="Table76134" ref="B23:F60" totalsRowCount="1" headerRowDxfId="1322">
  <autoFilter ref="B23:F59" xr:uid="{3955F709-56FA-40E8-B83C-907371E1E767}"/>
  <tableColumns count="5">
    <tableColumn id="1" xr3:uid="{C690CDC7-EB92-4991-8391-DA62A37A5CA5}" name="Year#" totalsRowLabel="Total"/>
    <tableColumn id="2" xr3:uid="{C047C830-467D-4256-A0B2-DE0B9CD304F5}" name="Year"/>
    <tableColumn id="3" xr3:uid="{CE3E106E-1740-457B-8B64-F2754F18BAF2}" name="Present Value (PV) Project Benefits" totalsRowFunction="sum" totalsRowDxfId="1321">
      <calculatedColumnFormula>'MM_ES-2. B&amp;C Summary Backup'!M12</calculatedColumnFormula>
    </tableColumn>
    <tableColumn id="4" xr3:uid="{3D7C4B63-C142-48D0-9FF7-D15DB1E33DC5}" name="Project Benefits at 7% Discount Rate*" totalsRowFunction="sum" totalsRowDxfId="1320">
      <calculatedColumnFormula>'MM_ES-2. B&amp;C Summary Backup'!N12</calculatedColumnFormula>
    </tableColumn>
    <tableColumn id="5" xr3:uid="{50888B64-3DB2-4F89-ADD5-BB7965098696}" name="Project Benefits at 3% Discount Rate" totalsRowFunction="sum" totalsRowDxfId="1319">
      <calculatedColumnFormula>$D24/((1+$F$13)^$B24)</calculatedColumnFormula>
    </tableColumn>
  </tableColumns>
  <tableStyleInfo name="TableStyleLight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 xr:uid="{FA618C33-FD4F-48E3-A9B8-3BE1289FD7A9}" name="Table77135" displayName="Table77135" ref="H23:J60" totalsRowCount="1" headerRowDxfId="1318" dataDxfId="1317">
  <autoFilter ref="H23:J59" xr:uid="{F227AFC5-50F5-4A95-895A-7756F27BEC8A}"/>
  <tableColumns count="3">
    <tableColumn id="1" xr3:uid="{CE605F5B-FE59-440D-A598-624E3A2E4CD7}" name="Present Value (PV) Project Costs" totalsRowFunction="sum" dataDxfId="1316" totalsRowDxfId="1315">
      <calculatedColumnFormula>'MM_ES-2. B&amp;C Summary Backup'!E58</calculatedColumnFormula>
    </tableColumn>
    <tableColumn id="2" xr3:uid="{5D8F1EA1-E442-4C06-8D18-3ADC6E621E58}" name="Project Costs at 7% Discount Rate" totalsRowFunction="sum" dataDxfId="1314" totalsRowDxfId="1313" dataCellStyle="Currency">
      <calculatedColumnFormula>$H24/((1+$F$12)^$B24)</calculatedColumnFormula>
    </tableColumn>
    <tableColumn id="3" xr3:uid="{E6C2E9E0-E247-47E1-98F6-71235411F60F}" name="Project Costs at 3% Discount Rate" totalsRowFunction="sum" dataDxfId="1312" totalsRowDxfId="1311" dataCellStyle="Currency" totalsRowCellStyle="Currency">
      <calculatedColumnFormula>$H24/((1+$F$13)^$B24)</calculatedColumnFormula>
    </tableColumn>
  </tableColumns>
  <tableStyleInfo name="TableStyleLight1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1DA841D8-0025-49D1-8CFE-C740DAF4F5D8}" name="Table75" displayName="Table75" ref="E10:F19" totalsRowShown="0" headerRowDxfId="1310">
  <autoFilter ref="E10:F19" xr:uid="{1DA841D8-0025-49D1-8CFE-C740DAF4F5D8}"/>
  <tableColumns count="2">
    <tableColumn id="1" xr3:uid="{EC611F29-7888-4071-A4DA-390C80FB78FD}" name="Item" dataDxfId="1309"/>
    <tableColumn id="2" xr3:uid="{3561A791-E6B3-484A-B584-A7A33EE5E2CB}" name="Value"/>
  </tableColumns>
  <tableStyleInfo name="TableStyleLight1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3955F709-56FA-40E8-B83C-907371E1E767}" name="Table76" displayName="Table76" ref="B23:F60" totalsRowCount="1" headerRowDxfId="1308">
  <autoFilter ref="B23:F59" xr:uid="{3955F709-56FA-40E8-B83C-907371E1E767}"/>
  <tableColumns count="5">
    <tableColumn id="1" xr3:uid="{5C1D3D9B-8342-4E36-AA3E-FB178427F5C2}" name="Year#" totalsRowLabel="Total"/>
    <tableColumn id="2" xr3:uid="{75C5EC40-BC50-4BB9-BD4A-AF36763BEF98}" name="Year"/>
    <tableColumn id="3" xr3:uid="{5401BBC8-5300-442A-A1D1-8ADD310E5FFB}" name="Present Value (PV) Project Benefits" totalsRowFunction="sum" totalsRowDxfId="1307"/>
    <tableColumn id="4" xr3:uid="{C14BB4A8-A8C0-40CB-B8D0-27707F03AA04}" name="Project Benefits at 7% Discount Rate*" totalsRowFunction="sum" totalsRowDxfId="1306"/>
    <tableColumn id="5" xr3:uid="{91201BEB-297A-4CBA-B876-C2E86D85B107}" name="Project Benefits at 3% Discount Rate" totalsRowFunction="sum" totalsRowDxfId="1305"/>
  </tableColumns>
  <tableStyleInfo name="TableStyleLight1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F227AFC5-50F5-4A95-895A-7756F27BEC8A}" name="Table77" displayName="Table77" ref="H23:J60" totalsRowCount="1" headerRowDxfId="1304" dataDxfId="1303">
  <autoFilter ref="H23:J59" xr:uid="{F227AFC5-50F5-4A95-895A-7756F27BEC8A}"/>
  <tableColumns count="3">
    <tableColumn id="1" xr3:uid="{C95CE3D0-6243-49EF-921B-43FF3D9A163D}" name="Present Value (PV) Project Costs" totalsRowFunction="sum" dataDxfId="1302" totalsRowDxfId="1301"/>
    <tableColumn id="2" xr3:uid="{70221BF2-E1F1-424D-984B-40C6C305C934}" name="Project Costs at 7% Discount Rate" totalsRowFunction="sum" dataDxfId="1300" totalsRowDxfId="1299" dataCellStyle="Currency"/>
    <tableColumn id="3" xr3:uid="{1DC3677A-5C33-46E6-9C8B-BAFC266BF9E6}" name="Project Costs at 3% Discount Rate" totalsRowFunction="sum" dataDxfId="1298" totalsRowDxfId="1297" dataCellStyle="Currency" totalsRowCellStyle="Currency"/>
  </tableColumns>
  <tableStyleInfo name="TableStyleLight10"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06DB6E5C-FC65-4126-868A-7195765659FB}" name="Table7560" displayName="Table7560" ref="E10:F19" totalsRowShown="0" headerRowDxfId="1296">
  <autoFilter ref="E10:F19" xr:uid="{1DA841D8-0025-49D1-8CFE-C740DAF4F5D8}"/>
  <tableColumns count="2">
    <tableColumn id="1" xr3:uid="{EC611F29-7888-4071-A4DA-390C80FB78FD}" name="Item" dataDxfId="1295"/>
    <tableColumn id="2" xr3:uid="{3561A791-E6B3-484A-B584-A7A33EE5E2CB}" name="Value"/>
  </tableColumns>
  <tableStyleInfo name="TableStyleLight1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F2EABE07-0285-4602-918F-920C628CAA53}" name="Table7673" displayName="Table7673" ref="B23:F60" totalsRowCount="1" headerRowDxfId="1294">
  <autoFilter ref="B23:F59" xr:uid="{3955F709-56FA-40E8-B83C-907371E1E767}"/>
  <tableColumns count="5">
    <tableColumn id="1" xr3:uid="{5C1D3D9B-8342-4E36-AA3E-FB178427F5C2}" name="Year#" totalsRowLabel="Total"/>
    <tableColumn id="2" xr3:uid="{75C5EC40-BC50-4BB9-BD4A-AF36763BEF98}" name="Year"/>
    <tableColumn id="3" xr3:uid="{5401BBC8-5300-442A-A1D1-8ADD310E5FFB}" name="Present Value (PV) Project Benefits" totalsRowFunction="sum" totalsRowDxfId="1293">
      <calculatedColumnFormula>'Q_ES-2. B&amp;C Summary Backup'!M12</calculatedColumnFormula>
    </tableColumn>
    <tableColumn id="4" xr3:uid="{C14BB4A8-A8C0-40CB-B8D0-27707F03AA04}" name="Project Benefits at 7% Discount Rate*" totalsRowFunction="sum" totalsRowDxfId="1292">
      <calculatedColumnFormula>'Q_ES-2. B&amp;C Summary Backup'!N12</calculatedColumnFormula>
    </tableColumn>
    <tableColumn id="5" xr3:uid="{91201BEB-297A-4CBA-B876-C2E86D85B107}" name="Project Benefits at 3% Discount Rate" totalsRowFunction="sum" totalsRowDxfId="1291">
      <calculatedColumnFormula>$D24/((1+$F$13)^$B24)</calculatedColumnFormula>
    </tableColumn>
  </tableColumns>
  <tableStyleInfo name="TableStyleLight1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469A5D6E-D27D-4835-8B8D-9A7E22F60AD2}" name="Table7774" displayName="Table7774" ref="H23:J60" totalsRowCount="1" headerRowDxfId="1290" dataDxfId="1289">
  <autoFilter ref="H23:J59" xr:uid="{F227AFC5-50F5-4A95-895A-7756F27BEC8A}"/>
  <tableColumns count="3">
    <tableColumn id="1" xr3:uid="{C95CE3D0-6243-49EF-921B-43FF3D9A163D}" name="Present Value (PV) Project Costs" totalsRowFunction="sum" dataDxfId="1288" totalsRowDxfId="1287">
      <calculatedColumnFormula>'Q_ES-2. B&amp;C Summary Backup'!E58</calculatedColumnFormula>
    </tableColumn>
    <tableColumn id="2" xr3:uid="{70221BF2-E1F1-424D-984B-40C6C305C934}" name="Project Costs at 7% Discount Rate" totalsRowFunction="sum" dataDxfId="1286" totalsRowDxfId="1285" dataCellStyle="Currency">
      <calculatedColumnFormula>$H24/((1+$F$12)^$B24)</calculatedColumnFormula>
    </tableColumn>
    <tableColumn id="3" xr3:uid="{1DC3677A-5C33-46E6-9C8B-BAFC266BF9E6}" name="Project Costs at 3% Discount Rate" totalsRowFunction="sum" dataDxfId="1284" totalsRowDxfId="1283" dataCellStyle="Currency">
      <calculatedColumnFormula>$H24/((1+$F$13)^$B24)</calculatedColumnFormula>
    </tableColumn>
  </tableColumns>
  <tableStyleInfo name="TableStyleLight10"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840DB9E-8C1E-4485-B543-6CCC0A721D9F}" name="Table1.1_Safety1" displayName="Table1.1_Safety1" ref="B17:H27" totalsRowCount="1" headerRowDxfId="1282" dataDxfId="1281" totalsRowDxfId="1280">
  <autoFilter ref="B17:H26" xr:uid="{9840DB9E-8C1E-4485-B543-6CCC0A721D9F}"/>
  <tableColumns count="7">
    <tableColumn id="1" xr3:uid="{60DCB0DE-1C79-4590-930F-A5CFB1DE134C}" name="Crash Severity" totalsRowLabel="Total" dataDxfId="1279" totalsRowDxfId="1278"/>
    <tableColumn id="2" xr3:uid="{A0E18879-074A-46FB-BF8A-20C5CEEC47E7}" name="Total Crashes" totalsRowFunction="sum" totalsRowDxfId="1277" dataCellStyle="Input"/>
    <tableColumn id="3" xr3:uid="{8306D25C-8D8F-4748-94FF-42840BFC781F}" name="Number of Crashes per Year" totalsRowFunction="sum" dataDxfId="1276" totalsRowDxfId="1275" dataCellStyle="Comma">
      <calculatedColumnFormula>C18/1</calculatedColumnFormula>
    </tableColumn>
    <tableColumn id="4" xr3:uid="{06025981-76C9-441F-84D9-48AC0D18682D}" name="Crash Reduction Factor" totalsRowFunction="average" totalsRowDxfId="1274" dataCellStyle="Input"/>
    <tableColumn id="5" xr3:uid="{CF11C4DF-DE96-4C9E-A648-F891C166E934}" name="Predicted Annual Crash Reduction" totalsRowFunction="sum" totalsRowDxfId="1273" dataCellStyle="Comma">
      <calculatedColumnFormula>D18*E18</calculatedColumnFormula>
    </tableColumn>
    <tableColumn id="6" xr3:uid="{778FBFDB-E2B8-4B19-BA82-E6313895875E}" name="Value of Injuries" totalsRowDxfId="1272" dataCellStyle="Currency">
      <calculatedColumnFormula>VLOOKUP(Table1.1_Safety1[[#This Row],[Crash Severity]],TableA1_KABCO[],2,FALSE)</calculatedColumnFormula>
    </tableColumn>
    <tableColumn id="7" xr3:uid="{38EC49D8-9778-4FF9-B8F9-A13D5220C450}" name="Annual Savings" totalsRowFunction="sum" totalsRowDxfId="1271" dataCellStyle="Currency">
      <calculatedColumnFormula>G18*F18</calculatedColumnFormula>
    </tableColumn>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86E55854-BC2E-48ED-99DD-BA1BBB6651EF}" name="Table1.2_Safety2" displayName="Table1.2_Safety2" ref="B33:H43" totalsRowCount="1" headerRowDxfId="1270" dataDxfId="1269" totalsRowDxfId="1268">
  <autoFilter ref="B33:H42" xr:uid="{86E55854-BC2E-48ED-99DD-BA1BBB6651EF}"/>
  <tableColumns count="7">
    <tableColumn id="1" xr3:uid="{9CE06C79-FF18-4E37-BB5B-694C6F35BB06}" name="Crash Severity" totalsRowLabel="Total" dataDxfId="1267" totalsRowDxfId="1266"/>
    <tableColumn id="2" xr3:uid="{815D8E35-FF41-478E-9622-DB9488C241F4}" name="Total Crashes" totalsRowFunction="sum" dataDxfId="1265" totalsRowDxfId="1264" dataCellStyle="Input"/>
    <tableColumn id="3" xr3:uid="{A9445C26-BEC7-428A-BEAE-1437DC2BFFF8}" name="Number of Crashes per Year" totalsRowFunction="sum" dataDxfId="1263" totalsRowDxfId="1262" dataCellStyle="Comma">
      <calculatedColumnFormula>C34/5</calculatedColumnFormula>
    </tableColumn>
    <tableColumn id="4" xr3:uid="{A8333CD3-F5F4-4168-B396-5FBC9722E6FC}" name="Crash Reduction Factor" totalsRowFunction="average" dataDxfId="1261" totalsRowDxfId="1260" dataCellStyle="Input"/>
    <tableColumn id="5" xr3:uid="{4155CF78-D373-486E-B7C5-8DCCA015287D}" name="Predicted Annual Crash Reduction" totalsRowFunction="sum" dataDxfId="1259" totalsRowDxfId="1258" dataCellStyle="Comma">
      <calculatedColumnFormula>D34*E34</calculatedColumnFormula>
    </tableColumn>
    <tableColumn id="6" xr3:uid="{B247BC96-3B42-4F72-874D-8FB8EB6421A1}" name="Value of Injuries" dataDxfId="1257" totalsRowDxfId="1256" dataCellStyle="Currency">
      <calculatedColumnFormula>VLOOKUP(Table1.2_Safety2[[#This Row],[Crash Severity]],TableA1_KABCO[],2,FALSE)</calculatedColumnFormula>
    </tableColumn>
    <tableColumn id="7" xr3:uid="{F99DDA20-7A28-4F04-929A-ABBB0AD4DF87}" name="Annual Savings" totalsRowFunction="sum" dataDxfId="1255" totalsRowDxfId="1254" dataCellStyle="Currency">
      <calculatedColumnFormula>G34*F34</calculatedColumnFormula>
    </tableColumn>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D09EE634-E547-4593-9332-188B5FFF5CDC}" name="Table1.3_Safety3" displayName="Table1.3_Safety3" ref="B49:H59" totalsRowCount="1" headerRowDxfId="1253" totalsRowDxfId="1252">
  <autoFilter ref="B49:H58" xr:uid="{D09EE634-E547-4593-9332-188B5FFF5CDC}"/>
  <tableColumns count="7">
    <tableColumn id="1" xr3:uid="{260E0D85-D3F4-449C-8F4F-62A2BE0A7E76}" name="Crash Severity" totalsRowLabel="Total" dataDxfId="1251" totalsRowDxfId="1250"/>
    <tableColumn id="2" xr3:uid="{D9121213-75BA-47E7-A97C-8B6C1203E2A8}" name="Total Crashes" totalsRowFunction="sum" dataDxfId="1249" totalsRowDxfId="1248" dataCellStyle="Input"/>
    <tableColumn id="3" xr3:uid="{1113F015-35B0-40FF-8486-5DFD584606F4}" name="Number of Crashes per Year" totalsRowFunction="sum" dataDxfId="1247" totalsRowDxfId="1246" dataCellStyle="Comma">
      <calculatedColumnFormula>C50/7</calculatedColumnFormula>
    </tableColumn>
    <tableColumn id="4" xr3:uid="{6ED792B2-31DA-4FFB-8C6C-7EAF7B4AA861}" name="Crash Reduction Factor" totalsRowFunction="average" dataDxfId="1245" totalsRowDxfId="1244" dataCellStyle="Input"/>
    <tableColumn id="5" xr3:uid="{C14B0CE0-06F8-4A1D-ADDF-E8BB95F4C86D}" name="Predicted Annual Crash Reduction" totalsRowFunction="sum" dataDxfId="1243" totalsRowDxfId="1242" dataCellStyle="Comma">
      <calculatedColumnFormula>D50*E50</calculatedColumnFormula>
    </tableColumn>
    <tableColumn id="6" xr3:uid="{719B4D0A-6598-4A53-848D-132BD2A74B57}" name="Value of Injuries" dataDxfId="1241" totalsRowDxfId="1240" dataCellStyle="Currency">
      <calculatedColumnFormula>VLOOKUP(Table1.3_Safety3[[#This Row],[Crash Severity]],TableA1_KABCO[],2,FALSE)</calculatedColumnFormula>
    </tableColumn>
    <tableColumn id="7" xr3:uid="{D8BADB44-6EB1-4BE9-88FE-FEAABBCABF00}" name="Annual Savings" totalsRowFunction="sum" dataDxfId="1239" totalsRowDxfId="1238" dataCellStyle="Currency">
      <calculatedColumnFormula>G50*F50</calculatedColumnFormula>
    </tableColumn>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30F42411-AEAC-49A3-8185-2002C93A5D23}" name="Table1.5_SafetySummary" displayName="Table1.5_SafetySummary" ref="B65:I66" totalsRowShown="0" headerRowDxfId="1237" dataDxfId="1236">
  <autoFilter ref="B65:I66" xr:uid="{30F42411-AEAC-49A3-8185-2002C93A5D23}"/>
  <tableColumns count="8">
    <tableColumn id="1" xr3:uid="{D37A979C-4006-4B82-B3F9-E9B193205FA0}" name="Crash Severity" dataDxfId="1235"/>
    <tableColumn id="2" xr3:uid="{FFF61359-02D2-4012-9C37-C94D3726091F}" name="Total Crashes" dataDxfId="1234" dataCellStyle="Comma">
      <calculatedColumnFormula>SUM(Table1.3_Safety3[[#Totals],[Total Crashes]],Table1.2_Safety2[[#Totals],[Total Crashes]],Table1.1_Safety1[[#Totals],[Total Crashes]])</calculatedColumnFormula>
    </tableColumn>
    <tableColumn id="3" xr3:uid="{E5CAF3EF-630A-432B-B6CA-954365ABB0B0}" name="Number of Crashes per Year" dataDxfId="1233" dataCellStyle="Comma">
      <calculatedColumnFormula>SUM(Table1.3_Safety3[[#Totals],[Number of Crashes per Year]],Table1.2_Safety2[[#Totals],[Number of Crashes per Year]],Table1.1_Safety1[[#Totals],[Number of Crashes per Year]])</calculatedColumnFormula>
    </tableColumn>
    <tableColumn id="4" xr3:uid="{BD876CC9-BE0A-4DCC-9582-2DF8BFDAE5D2}" name="Crash Reduction Factor" dataDxfId="1232" dataCellStyle="Comma">
      <calculatedColumnFormula>SUM(Table1.3_Safety3[[#Totals],[Crash Reduction Factor]],Table1.2_Safety2[[#Totals],[Crash Reduction Factor]],Table1.1_Safety1[[#Totals],[Crash Reduction Factor]])</calculatedColumnFormula>
    </tableColumn>
    <tableColumn id="5" xr3:uid="{EFA21919-42A2-4118-AC42-EF653A15AD9A}" name="Predicted Annual Crash Reduction" dataDxfId="1231" dataCellStyle="Comma">
      <calculatedColumnFormula>SUM(Table1.3_Safety3[[#Totals],[Predicted Annual Crash Reduction]],Table1.2_Safety2[[#Totals],[Predicted Annual Crash Reduction]],Table1.1_Safety1[[#Totals],[Predicted Annual Crash Reduction]])</calculatedColumnFormula>
    </tableColumn>
    <tableColumn id="6" xr3:uid="{FB420C11-371B-42C4-ADB8-B5B17B522659}" name="Value of Injuries" dataDxfId="1230" dataCellStyle="Comma">
      <calculatedColumnFormula>SUM(Table1.3_Safety3[[#Totals],[Value of Injuries]],Table1.2_Safety2[[#Totals],[Value of Injuries]],Table1.1_Safety1[[#Totals],[Value of Injuries]])</calculatedColumnFormula>
    </tableColumn>
    <tableColumn id="7" xr3:uid="{DF42433E-BE6F-4666-B0D8-42A1E693F08B}" name="Annual Savings" dataDxfId="1229" dataCellStyle="Currency">
      <calculatedColumnFormula>SUM(Table1.3_Safety3[[#Totals],[Annual Savings]],Table1.2_Safety2[[#Totals],[Annual Savings]],Table1.1_Safety1[[#Totals],[Annual Savings]])</calculatedColumnFormula>
    </tableColumn>
    <tableColumn id="8" xr3:uid="{CB06E425-F613-4B6A-B367-9A25711DE1B6}" name="30-Year Total" dataDxfId="1228" dataCellStyle="Comma">
      <calculatedColumnFormula>Table1B1_SafetyBackup[[#Totals],[Realized Safety Benefit ($/Year)]]</calculatedColumnFormula>
    </tableColumn>
  </tableColumns>
  <tableStyleInfo name="TableStyleLight14"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B1A9A6C1-19E0-4948-8DB0-5B9D8E5EACDC}" name="Table1B1_SafetyBackup" displayName="Table1B1_SafetyBackup" ref="B15:G52" totalsRowCount="1" headerRowDxfId="1227" dataDxfId="1226" totalsRowDxfId="1225">
  <autoFilter ref="B15:G51" xr:uid="{B1A9A6C1-19E0-4948-8DB0-5B9D8E5EACDC}"/>
  <tableColumns count="6">
    <tableColumn id="2" xr3:uid="{E32A803F-524F-42D3-8522-4B3B707E692E}" name="Year" dataDxfId="1224" totalsRowDxfId="1223">
      <calculatedColumnFormula>First_Year+'Appendix B. Project Information'!B20</calculatedColumnFormula>
    </tableColumn>
    <tableColumn id="3" xr3:uid="{BAC1E606-1CCA-496B-B251-17808F07B823}" name="Traffic Count" totalsRowFunction="sum" dataDxfId="1222" totalsRowDxfId="1221" dataCellStyle="Comma">
      <calculatedColumnFormula>'MM_3D. TTS Backup All Years'!C51</calculatedColumnFormula>
    </tableColumn>
    <tableColumn id="4" xr3:uid="{89C799F8-579D-4658-AD12-813486170205}" name="Estimated Total Crashes, No Build Scenario (Crashes/Yr)" totalsRowFunction="sum" dataDxfId="1220" totalsRowDxfId="1219" dataCellStyle="Comma">
      <calculatedColumnFormula>SUM(Table1.1_Safety1[[#Totals],[Number of Crashes per Year]],Table1.2_Safety2[[#Totals],[Number of Crashes per Year]],Table1.3_Safety3[[#Totals],[Number of Crashes per Year]])</calculatedColumnFormula>
    </tableColumn>
    <tableColumn id="5" xr3:uid="{462D7B5B-0215-4A51-9FB9-8D646C5CD2C3}" name="Estimated Total Crashes, Preferred Action Scenario" totalsRowFunction="sum" dataDxfId="1218" totalsRowDxfId="1217" dataCellStyle="Comma">
      <calculatedColumnFormula>Table1B1_SafetyBackup[[#This Row],[Estimated Total Crashes, No Build Scenario (Crashes/Yr)]]-Table1B1_SafetyBackup[[#This Row],[Predicted Crash Reduction, Preferred Action Scenario (Crashes/Yr)]]</calculatedColumnFormula>
    </tableColumn>
    <tableColumn id="6" xr3:uid="{7AC4A8AA-5834-4C82-8369-D7671111AECA}" name="Predicted Crash Reduction, Preferred Action Scenario (Crashes/Yr)" totalsRowFunction="sum" dataDxfId="1216" totalsRowDxfId="1215" dataCellStyle="Comma"/>
    <tableColumn id="7" xr3:uid="{E006CF89-574B-4D1C-8BB5-E76F5F9AE219}" name="Realized Safety Benefit ($/Year)" totalsRowFunction="sum" dataDxfId="1214" totalsRowDxfId="1213" dataCellStyle="Currency">
      <calculatedColumnFormula>IF(Table1B1_SafetyBackup[[#This Row],[Year]]&lt;=Closeout,0,IF(Table1B1_SafetyBackup[[#This Row],[Year]]&lt;=Last_Year,Table1B1_SafetyBackup[[#This Row],[Predicted Crash Reduction, Preferred Action Scenario (Crashes/Yr)]],0))</calculatedColumnFormula>
    </tableColumn>
  </tableColumns>
  <tableStyleInfo name="TableStyleLight1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4B2E3831-C71D-46DF-BB39-6833F43F94E1}" name="Table1.1_Safety175" displayName="Table1.1_Safety175" ref="B17:H27" totalsRowCount="1" headerRowDxfId="1212" dataDxfId="1211" totalsRowDxfId="1210">
  <autoFilter ref="B17:H26" xr:uid="{9840DB9E-8C1E-4485-B543-6CCC0A721D9F}"/>
  <tableColumns count="7">
    <tableColumn id="1" xr3:uid="{60DCB0DE-1C79-4590-930F-A5CFB1DE134C}" name="Crash Severity" totalsRowLabel="Total" dataDxfId="1209" totalsRowDxfId="1208"/>
    <tableColumn id="2" xr3:uid="{A0E18879-074A-46FB-BF8A-20C5CEEC47E7}" name="Total Crashes" totalsRowFunction="sum" totalsRowDxfId="1207" dataCellStyle="Input"/>
    <tableColumn id="3" xr3:uid="{8306D25C-8D8F-4748-94FF-42840BFC781F}" name="Number of Crashes per Year" totalsRowFunction="sum" dataDxfId="1206" totalsRowDxfId="1205" dataCellStyle="Comma">
      <calculatedColumnFormula>C18/1</calculatedColumnFormula>
    </tableColumn>
    <tableColumn id="4" xr3:uid="{06025981-76C9-441F-84D9-48AC0D18682D}" name="Crash Reduction Factor" totalsRowFunction="average" totalsRowDxfId="1204" dataCellStyle="Input"/>
    <tableColumn id="5" xr3:uid="{CF11C4DF-DE96-4C9E-A648-F891C166E934}" name="Predicted Annual Crash Reduction" totalsRowFunction="sum" totalsRowDxfId="1203" dataCellStyle="Comma">
      <calculatedColumnFormula>D18*E18</calculatedColumnFormula>
    </tableColumn>
    <tableColumn id="6" xr3:uid="{778FBFDB-E2B8-4B19-BA82-E6313895875E}" name="Value of Injuries" totalsRowDxfId="1202" dataCellStyle="Currency">
      <calculatedColumnFormula>VLOOKUP(Table1.1_Safety175[[#This Row],[Crash Severity]],TableA1_KABCO117[],2,FALSE)</calculatedColumnFormula>
    </tableColumn>
    <tableColumn id="7" xr3:uid="{38EC49D8-9778-4FF9-B8F9-A13D5220C450}" name="Annual Savings" totalsRowFunction="sum" totalsRowDxfId="1201" dataCellStyle="Currency">
      <calculatedColumnFormula>G18*F18</calculatedColumnFormula>
    </tableColumn>
  </tableColumns>
  <tableStyleInfo name="TableStyleLight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CE17A52C-A8A5-4BDD-997F-E9F99164284D}" name="Table1.2_Safety279" displayName="Table1.2_Safety279" ref="B33:H43" totalsRowCount="1" headerRowDxfId="1200" dataDxfId="1199" totalsRowDxfId="1198">
  <autoFilter ref="B33:H42" xr:uid="{86E55854-BC2E-48ED-99DD-BA1BBB6651EF}"/>
  <tableColumns count="7">
    <tableColumn id="1" xr3:uid="{9CE06C79-FF18-4E37-BB5B-694C6F35BB06}" name="Crash Severity" totalsRowLabel="Total" dataDxfId="1197" totalsRowDxfId="1196"/>
    <tableColumn id="2" xr3:uid="{815D8E35-FF41-478E-9622-DB9488C241F4}" name="Total Crashes" totalsRowFunction="sum" dataDxfId="1195" totalsRowDxfId="1194" dataCellStyle="Input"/>
    <tableColumn id="3" xr3:uid="{A9445C26-BEC7-428A-BEAE-1437DC2BFFF8}" name="Number of Crashes per Year" totalsRowFunction="sum" dataDxfId="1193" totalsRowDxfId="1192" dataCellStyle="Comma">
      <calculatedColumnFormula>C34/7</calculatedColumnFormula>
    </tableColumn>
    <tableColumn id="4" xr3:uid="{A8333CD3-F5F4-4168-B396-5FBC9722E6FC}" name="Crash Reduction Factor" totalsRowFunction="average" dataDxfId="1191" totalsRowDxfId="1190" dataCellStyle="Input"/>
    <tableColumn id="5" xr3:uid="{4155CF78-D373-486E-B7C5-8DCCA015287D}" name="Predicted Annual Crash Reduction" totalsRowFunction="sum" dataDxfId="1189" totalsRowDxfId="1188" dataCellStyle="Comma">
      <calculatedColumnFormula>D34*E34</calculatedColumnFormula>
    </tableColumn>
    <tableColumn id="6" xr3:uid="{B247BC96-3B42-4F72-874D-8FB8EB6421A1}" name="Value of Injuries" dataDxfId="1187" totalsRowDxfId="1186" dataCellStyle="Currency">
      <calculatedColumnFormula>VLOOKUP(Table1.2_Safety279[[#This Row],[Crash Severity]],TableA1_KABCO117[],2,FALSE)</calculatedColumnFormula>
    </tableColumn>
    <tableColumn id="7" xr3:uid="{F99DDA20-7A28-4F04-929A-ABBB0AD4DF87}" name="Annual Savings" totalsRowFunction="sum" dataDxfId="1185" totalsRowDxfId="1184" dataCellStyle="Currency">
      <calculatedColumnFormula>G34*F34</calculatedColumnFormula>
    </tableColumn>
  </tableColumns>
  <tableStyleInfo name="TableStyleLight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15DE9ADC-BC7D-444F-AE5C-0D15C3F70D04}" name="Table1.3_Safety383" displayName="Table1.3_Safety383" ref="B49:H59" totalsRowCount="1" headerRowDxfId="1183" totalsRowDxfId="1182">
  <autoFilter ref="B49:H58" xr:uid="{D09EE634-E547-4593-9332-188B5FFF5CDC}"/>
  <tableColumns count="7">
    <tableColumn id="1" xr3:uid="{260E0D85-D3F4-449C-8F4F-62A2BE0A7E76}" name="Crash Severity" totalsRowLabel="Total" dataDxfId="1181" totalsRowDxfId="1180"/>
    <tableColumn id="2" xr3:uid="{D9121213-75BA-47E7-A97C-8B6C1203E2A8}" name="Total Crashes" totalsRowFunction="sum" dataDxfId="1179" totalsRowDxfId="1178" dataCellStyle="Input"/>
    <tableColumn id="3" xr3:uid="{1113F015-35B0-40FF-8486-5DFD584606F4}" name="Number of Crashes per Year" totalsRowFunction="sum" dataDxfId="1177" totalsRowDxfId="1176" dataCellStyle="Comma">
      <calculatedColumnFormula>C50/7</calculatedColumnFormula>
    </tableColumn>
    <tableColumn id="4" xr3:uid="{6ED792B2-31DA-4FFB-8C6C-7EAF7B4AA861}" name="Crash Reduction Factor" totalsRowFunction="average" dataDxfId="1175" totalsRowDxfId="1174" dataCellStyle="Input"/>
    <tableColumn id="5" xr3:uid="{C14B0CE0-06F8-4A1D-ADDF-E8BB95F4C86D}" name="Predicted Annual Crash Reduction" totalsRowFunction="sum" dataDxfId="1173" totalsRowDxfId="1172" dataCellStyle="Comma">
      <calculatedColumnFormula>D50*E50</calculatedColumnFormula>
    </tableColumn>
    <tableColumn id="6" xr3:uid="{719B4D0A-6598-4A53-848D-132BD2A74B57}" name="Value of Injuries" dataDxfId="1171" totalsRowDxfId="1170" dataCellStyle="Currency">
      <calculatedColumnFormula>VLOOKUP(Table1.3_Safety383[[#This Row],[Crash Severity]],TableA1_KABCO117[],2,FALSE)</calculatedColumnFormula>
    </tableColumn>
    <tableColumn id="7" xr3:uid="{D8BADB44-6EB1-4BE9-88FE-FEAABBCABF00}" name="Annual Savings" totalsRowFunction="sum" dataDxfId="1169" totalsRowDxfId="1168" dataCellStyle="Currency">
      <calculatedColumnFormula>G50*F50</calculatedColumnFormula>
    </tableColumn>
  </tableColumns>
  <tableStyleInfo name="TableStyleLight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D6725285-40E2-48DE-BDB8-B625B1B72EA3}" name="Table1.5_SafetySummary84" displayName="Table1.5_SafetySummary84" ref="B65:H66" totalsRowShown="0" headerRowDxfId="1167" dataDxfId="1166">
  <autoFilter ref="B65:H66" xr:uid="{30F42411-AEAC-49A3-8185-2002C93A5D23}"/>
  <tableColumns count="7">
    <tableColumn id="1" xr3:uid="{D37A979C-4006-4B82-B3F9-E9B193205FA0}" name="Crash Severity" dataDxfId="1165"/>
    <tableColumn id="2" xr3:uid="{FFF61359-02D2-4012-9C37-C94D3726091F}" name="Total Crashes" dataDxfId="1164" dataCellStyle="Comma">
      <calculatedColumnFormula>SUM(Table1.3_Safety383[[#Totals],[Total Crashes]],Table1.2_Safety279[[#Totals],[Total Crashes]],Table1.1_Safety175[[#Totals],[Total Crashes]])</calculatedColumnFormula>
    </tableColumn>
    <tableColumn id="3" xr3:uid="{E5CAF3EF-630A-432B-B6CA-954365ABB0B0}" name="Number of Crashes per Year" dataDxfId="1163" dataCellStyle="Comma">
      <calculatedColumnFormula>SUM(Table1.3_Safety383[[#Totals],[Number of Crashes per Year]],Table1.2_Safety279[[#Totals],[Number of Crashes per Year]],Table1.1_Safety175[[#Totals],[Number of Crashes per Year]])</calculatedColumnFormula>
    </tableColumn>
    <tableColumn id="5" xr3:uid="{EFA21919-42A2-4118-AC42-EF653A15AD9A}" name="Predicted Annual Crash Reduction" dataDxfId="1162" dataCellStyle="Comma 2">
      <calculatedColumnFormula>SUM(Table1.3_Safety383[[#Totals],[Predicted Annual Crash Reduction]],Table1.2_Safety279[[#Totals],[Predicted Annual Crash Reduction]],Table1.1_Safety175[[#Totals],[Predicted Annual Crash Reduction]])</calculatedColumnFormula>
    </tableColumn>
    <tableColumn id="6" xr3:uid="{FB420C11-371B-42C4-ADB8-B5B17B522659}" name="Value of Injuries" dataDxfId="1161" dataCellStyle="Comma 2">
      <calculatedColumnFormula>SUM(Table1.3_Safety383[[#Totals],[Value of Injuries]],Table1.2_Safety279[[#Totals],[Value of Injuries]],Table1.1_Safety175[[#Totals],[Value of Injuries]])</calculatedColumnFormula>
    </tableColumn>
    <tableColumn id="7" xr3:uid="{DF42433E-BE6F-4666-B0D8-42A1E693F08B}" name="Annual Savings" dataDxfId="1160" dataCellStyle="Currency 2">
      <calculatedColumnFormula>SUM(Table1.3_Safety383[[#Totals],[Annual Savings]],Table1.2_Safety279[[#Totals],[Annual Savings]],Table1.1_Safety175[[#Totals],[Annual Savings]])</calculatedColumnFormula>
    </tableColumn>
    <tableColumn id="8" xr3:uid="{CB06E425-F613-4B6A-B367-9A25711DE1B6}" name="30-Year Total" dataDxfId="1159" dataCellStyle="Comma 2">
      <calculatedColumnFormula>Table1B1_SafetyBackup85[[#Totals],[Realized Safety Benefit ($/Year)]]</calculatedColumnFormula>
    </tableColumn>
  </tableColumns>
  <tableStyleInfo name="TableStyleLight14"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49AB3FFF-EB16-4612-9FD5-292829D383DC}" name="Table1B1_SafetyBackup85" displayName="Table1B1_SafetyBackup85" ref="B15:G52" totalsRowCount="1" headerRowDxfId="1158" dataDxfId="1157" totalsRowDxfId="1156">
  <autoFilter ref="B15:G51" xr:uid="{B1A9A6C1-19E0-4948-8DB0-5B9D8E5EACDC}"/>
  <tableColumns count="6">
    <tableColumn id="2" xr3:uid="{E32A803F-524F-42D3-8522-4B3B707E692E}" name="Year" dataDxfId="1155" totalsRowDxfId="1154">
      <calculatedColumnFormula>First_Year+'Q_Appendix B. Project Info'!B20</calculatedColumnFormula>
    </tableColumn>
    <tableColumn id="3" xr3:uid="{BAC1E606-1CCA-496B-B251-17808F07B823}" name="Traffic Count" totalsRowFunction="sum" dataDxfId="1153" totalsRowDxfId="1152" dataCellStyle="Comma">
      <calculatedColumnFormula>'Q_3D. TTS Backup All Years'!C51</calculatedColumnFormula>
    </tableColumn>
    <tableColumn id="4" xr3:uid="{89C799F8-579D-4658-AD12-813486170205}" name="Estimated Total Crashes, No Build Scenario (Crashes/Yr)" totalsRowFunction="sum" dataDxfId="1151" totalsRowDxfId="1150" dataCellStyle="Comma">
      <calculatedColumnFormula>SUM(Table1.1_Safety175[[#Totals],[Number of Crashes per Year]],Table1.2_Safety279[[#Totals],[Number of Crashes per Year]],Table1.3_Safety383[[#Totals],[Number of Crashes per Year]])</calculatedColumnFormula>
    </tableColumn>
    <tableColumn id="5" xr3:uid="{462D7B5B-0215-4A51-9FB9-8D646C5CD2C3}" name="Estimated Total Crashes, Preferred Action Scenario" totalsRowFunction="sum" dataDxfId="1149" totalsRowDxfId="1148" dataCellStyle="Comma">
      <calculatedColumnFormula>Table1B1_SafetyBackup85[[#This Row],[Estimated Total Crashes, No Build Scenario (Crashes/Yr)]]-Table1B1_SafetyBackup85[[#This Row],[Predicted Crash Reduction, Preferred Action Scenario (Crashes/Yr)]]</calculatedColumnFormula>
    </tableColumn>
    <tableColumn id="6" xr3:uid="{7AC4A8AA-5834-4C82-8369-D7671111AECA}" name="Predicted Crash Reduction, Preferred Action Scenario (Crashes/Yr)" totalsRowFunction="sum" dataDxfId="1147" totalsRowDxfId="1146" dataCellStyle="Comma"/>
    <tableColumn id="7" xr3:uid="{E006CF89-574B-4D1C-8BB5-E76F5F9AE219}" name="Realized Safety Benefit ($/Year)" totalsRowFunction="sum" dataDxfId="1145" totalsRowDxfId="1144" dataCellStyle="Currency">
      <calculatedColumnFormula>IF(Table1B1_SafetyBackup85[[#This Row],[Year]]&lt;=Closeout,0,IF(Table1B1_SafetyBackup85[[#This Row],[Year]]&lt;=Last_Year,Table1B1_SafetyBackup85[[#This Row],[Predicted Crash Reduction, Preferred Action Scenario (Crashes/Yr)]],0))</calculatedColumnFormula>
    </tableColumn>
  </tableColumns>
  <tableStyleInfo name="TableStyleLight1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63A7F75A-7D5F-42A6-9A6C-F13F773B3493}" name="Table2.1_EmRed" displayName="Table2.1_EmRed" ref="B16:I24" totalsRowCount="1" headerRowDxfId="1143" dataDxfId="1142" dataCellStyle="Comma">
  <autoFilter ref="B16:I23" xr:uid="{63A7F75A-7D5F-42A6-9A6C-F13F773B3493}"/>
  <tableColumns count="8">
    <tableColumn id="1" xr3:uid="{A491FEE2-FDB6-4ECB-8788-5F107B85CF58}" name="Year" totalsRowLabel="Average" dataDxfId="1141" totalsRowDxfId="1140"/>
    <tableColumn id="2" xr3:uid="{FC4B9436-FE0A-4564-858D-81CE5E4DA34C}" name="NOX" totalsRowFunction="custom" dataDxfId="1139" totalsRowDxfId="1138" dataCellStyle="Comma">
      <calculatedColumnFormula array="1">IFERROR(INDEX(Table2B.3_AQ_Dif[[#Headers],[#Data],[Year]:[VOC]],MATCH(Table2.1_EmRed[[#This Row],[Year]:[Year]],Table2B.3_AQ_Dif[[#Headers],[#Data],[Year]:[Year]],0),MATCH(Table2.1_EmRed[[#Headers],[NOX]],Table2B.3_AQ_Dif[[#Headers],[Year]:[VOC]],0)),"")</calculatedColumnFormula>
      <totalsRowFormula>AVERAGE('MM_2B. Emissions Backup'!C104:C134)</totalsRowFormula>
    </tableColumn>
    <tableColumn id="3" xr3:uid="{ED828E75-5275-4147-852E-55276AFCA6CE}" name="SOx" totalsRowFunction="custom" dataDxfId="1137" totalsRowDxfId="1136" dataCellStyle="Comma">
      <calculatedColumnFormula array="1">IFERROR(INDEX(Table2B.3_AQ_Dif[[#Headers],[#Data],[Year]:[VOC]],MATCH(Table2.1_EmRed[[#This Row],[Year]:[Year]],Table2B.3_AQ_Dif[[#Headers],[#Data],[Year]:[Year]],0),MATCH(Table2.1_EmRed[[#Headers],[SOx]],Table2B.3_AQ_Dif[[#Headers],[Year]:[VOC]],0)),"")</calculatedColumnFormula>
      <totalsRowFormula>AVERAGE('MM_2B. Emissions Backup'!D104:D134)</totalsRowFormula>
    </tableColumn>
    <tableColumn id="4" xr3:uid="{CBCEC4E6-93AE-48AE-8CC6-5FCCCD8818F5}" name="PM2.5" totalsRowFunction="custom" dataDxfId="1135" totalsRowDxfId="1134" dataCellStyle="Comma">
      <calculatedColumnFormula array="1">IFERROR(INDEX(Table2B.3_AQ_Dif[[#Headers],[#Data],[Year]:[VOC]],MATCH(Table2.1_EmRed[[#This Row],[Year]:[Year]],Table2B.3_AQ_Dif[[#Headers],[#Data],[Year]:[Year]],0),MATCH(Table2.1_EmRed[[#Headers],[PM2.5]],Table2B.3_AQ_Dif[[#Headers],[Year]:[VOC]],0)),"")</calculatedColumnFormula>
      <totalsRowFormula>AVERAGE('MM_2B. Emissions Backup'!E104:E134)</totalsRowFormula>
    </tableColumn>
    <tableColumn id="5" xr3:uid="{06A1A42E-307E-49B7-82C7-D8C78D611517}" name="CO2" totalsRowFunction="custom" dataDxfId="1133" totalsRowDxfId="1132" dataCellStyle="Comma">
      <calculatedColumnFormula array="1">IFERROR(INDEX(Table2B.3_AQ_Dif[[#Headers],[#Data],[Year]:[VOC]],MATCH(Table2.1_EmRed[[#This Row],[Year]:[Year]],Table2B.3_AQ_Dif[[#Headers],[#Data],[Year]:[Year]],0),MATCH(Table2.1_EmRed[[#Headers],[CO2]],Table2B.3_AQ_Dif[[#Headers],[Year]:[VOC]],0)),"")</calculatedColumnFormula>
      <totalsRowFormula>AVERAGE('MM_2B. Emissions Backup'!F104:F134)</totalsRowFormula>
    </tableColumn>
    <tableColumn id="6" xr3:uid="{281829E1-4CD5-4906-BCA8-39772DA7AD85}" name="PM10" totalsRowFunction="custom" dataDxfId="1131" totalsRowDxfId="1130" dataCellStyle="Comma">
      <calculatedColumnFormula array="1">IFERROR(INDEX(Table2B.3_AQ_Dif[[#Headers],[#Data],[Year]:[VOC]],MATCH(Table2.1_EmRed[[#This Row],[Year]:[Year]],Table2B.3_AQ_Dif[[#Headers],[#Data],[Year]:[Year]],0),MATCH(Table2.1_EmRed[[#Headers],[PM10]],Table2B.3_AQ_Dif[[#Headers],[Year]:[VOC]],0)),"")</calculatedColumnFormula>
      <totalsRowFormula>AVERAGE('MM_2B. Emissions Backup'!G104:G134)</totalsRowFormula>
    </tableColumn>
    <tableColumn id="7" xr3:uid="{33971382-6CA9-4983-B82E-DBADA61CB694}" name="VOC" totalsRowFunction="custom" dataDxfId="1129" totalsRowDxfId="1128" dataCellStyle="Comma">
      <calculatedColumnFormula array="1">IFERROR(INDEX(Table2B.3_AQ_Dif[[#Headers],[#Data],[Year]:[VOC]],MATCH(Table2.1_EmRed[[#This Row],[Year]:[Year]],Table2B.3_AQ_Dif[[#Headers],[#Data],[Year]:[Year]],0),MATCH(Table2.1_EmRed[[#Headers],[VOC]],Table2B.3_AQ_Dif[[#Headers],[Year]:[VOC]],0)),"")</calculatedColumnFormula>
      <totalsRowFormula>AVERAGE('MM_2B. Emissions Backup'!H104:H134)</totalsRowFormula>
    </tableColumn>
    <tableColumn id="8" xr3:uid="{9AF9D256-0711-4B66-AAD7-E220FF65DA00}" name="Total" totalsRowFunction="custom" dataDxfId="1127" totalsRowDxfId="1126" dataCellStyle="Comma">
      <calculatedColumnFormula>SUM(Table2.1_EmRed[[#This Row],[NOX]:[VOC]])</calculatedColumnFormula>
      <totalsRowFormula>AVERAGE('MM_2B. Emissions Backup'!I104:I134)</totalsRowFormula>
    </tableColumn>
  </tableColumns>
  <tableStyleInfo name="TableStyleLight9"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E6775E9C-1977-457E-A9F4-FF0CEA3FBEB3}" name="Table2.2_EmMoney" displayName="Table2.2_EmMoney" ref="B28:I36" totalsRowCount="1" headerRowDxfId="1125" dataDxfId="1124" dataCellStyle="Comma">
  <autoFilter ref="B28:I35" xr:uid="{E6775E9C-1977-457E-A9F4-FF0CEA3FBEB3}"/>
  <tableColumns count="8">
    <tableColumn id="1" xr3:uid="{9FCAC26E-53FA-403E-A8CC-0385E9FA6A5B}" name="Year" totalsRowLabel="Average" dataDxfId="1123" totalsRowDxfId="1122"/>
    <tableColumn id="2" xr3:uid="{313DF34B-6786-4C30-A9D8-84D5B3419C64}" name="NOX" totalsRowFunction="custom" dataDxfId="1121" totalsRowDxfId="1120" dataCellStyle="Currency">
      <calculatedColumnFormula array="1">IFERROR(INDEX(Table2B.4_AQ_Dollars[[#Headers],[#Data],[Year]:[VOC]],MATCH(Table2.2_EmMoney[[#This Row],[Year]:[Year]],Table2B.4_AQ_Dollars[[#Headers],[#Data],[Year]:[Year]],0),MATCH(Table2.2_EmMoney[[#Headers],[NOX]],Table2B.4_AQ_Dollars[[#Headers],[Year]:[VOC]],0)),"")</calculatedColumnFormula>
      <totalsRowFormula>AVERAGE('MM_2B. Emissions Backup'!C146:C175)</totalsRowFormula>
    </tableColumn>
    <tableColumn id="3" xr3:uid="{3273030C-6CA9-4F0F-81AE-04D0D4DE0C46}" name="SOx" totalsRowFunction="custom" dataDxfId="1119" totalsRowDxfId="1118" dataCellStyle="Currency">
      <calculatedColumnFormula array="1">IFERROR(INDEX(Table2B.4_AQ_Dollars[[#Headers],[#Data],[Year]:[VOC]],MATCH(Table2.2_EmMoney[[#This Row],[Year]:[Year]],Table2B.4_AQ_Dollars[[#Headers],[#Data],[Year]:[Year]],0),MATCH(Table2.2_EmMoney[[#Headers],[SOx]],Table2B.4_AQ_Dollars[[#Headers],[Year]:[VOC]],0)),"")</calculatedColumnFormula>
      <totalsRowFormula>AVERAGE('MM_2B. Emissions Backup'!D146:D175)</totalsRowFormula>
    </tableColumn>
    <tableColumn id="4" xr3:uid="{F7001146-B7AC-4E40-9ABE-5A722CCC489D}" name="PM2.5" totalsRowFunction="custom" dataDxfId="1117" totalsRowDxfId="1116" dataCellStyle="Currency">
      <calculatedColumnFormula array="1">IFERROR(INDEX(Table2B.4_AQ_Dollars[[#Headers],[#Data],[Year]:[VOC]],MATCH(Table2.2_EmMoney[[#This Row],[Year]:[Year]],Table2B.4_AQ_Dollars[[#Headers],[#Data],[Year]:[Year]],0),MATCH(Table2.2_EmMoney[[#Headers],[PM2.5]],Table2B.4_AQ_Dollars[[#Headers],[Year]:[VOC]],0)),"")</calculatedColumnFormula>
      <totalsRowFormula>AVERAGE('MM_2B. Emissions Backup'!E146:E175)</totalsRowFormula>
    </tableColumn>
    <tableColumn id="5" xr3:uid="{E63B1060-E0B0-4456-BBE0-E81FF7FCCE44}" name="CO2" totalsRowFunction="custom" dataDxfId="1115" totalsRowDxfId="1114" dataCellStyle="Currency">
      <calculatedColumnFormula array="1">IFERROR(INDEX(Table2B.4_AQ_Dollars[[#Headers],[#Data],[Year]:[VOC]],MATCH(Table2.2_EmMoney[[#This Row],[Year]:[Year]],Table2B.4_AQ_Dollars[[#Headers],[#Data],[Year]:[Year]],0),MATCH(Table2.2_EmMoney[[#Headers],[CO2]],Table2B.4_AQ_Dollars[[#Headers],[Year]:[VOC]],0)),"")</calculatedColumnFormula>
      <totalsRowFormula>AVERAGE('MM_2B. Emissions Backup'!F146:F175)</totalsRowFormula>
    </tableColumn>
    <tableColumn id="6" xr3:uid="{286ABB5A-D5B5-45CF-ACDB-9DB366B4C4D7}" name="PM10" totalsRowFunction="custom" dataDxfId="1113" totalsRowDxfId="1112" dataCellStyle="Currency">
      <calculatedColumnFormula array="1">IFERROR(INDEX(Table2B.4_AQ_Dollars[[#Headers],[#Data],[Year]:[VOC]],MATCH(Table2.2_EmMoney[[#This Row],[Year]:[Year]],Table2B.4_AQ_Dollars[[#Headers],[#Data],[Year]:[Year]],0),MATCH(Table2.2_EmMoney[[#Headers],[PM10]],Table2B.4_AQ_Dollars[[#Headers],[Year]:[VOC]],0)),"")</calculatedColumnFormula>
      <totalsRowFormula>AVERAGE('MM_2B. Emissions Backup'!G146:G175)</totalsRowFormula>
    </tableColumn>
    <tableColumn id="7" xr3:uid="{8F07162F-90B4-4B00-967B-E4911BC5A188}" name="VOC" totalsRowFunction="custom" dataDxfId="1111" totalsRowDxfId="1110" dataCellStyle="Currency">
      <calculatedColumnFormula array="1">IFERROR(INDEX(Table2B.4_AQ_Dollars[[#Headers],[#Data],[Year]:[VOC]],MATCH(Table2.2_EmMoney[[#This Row],[Year]:[Year]],Table2B.4_AQ_Dollars[[#Headers],[#Data],[Year]:[Year]],0),MATCH(Table2.2_EmMoney[[#Headers],[VOC]],Table2B.4_AQ_Dollars[[#Headers],[Year]:[VOC]],0)),"")</calculatedColumnFormula>
      <totalsRowFormula>AVERAGE('MM_2B. Emissions Backup'!H146:H175)</totalsRowFormula>
    </tableColumn>
    <tableColumn id="8" xr3:uid="{1069B370-CB97-4171-A333-4647396DC2CF}" name="Total" totalsRowFunction="custom" dataDxfId="1109" totalsRowDxfId="1108" dataCellStyle="Currency">
      <calculatedColumnFormula>SUM(Table2.2_EmMoney[[#This Row],[NOX]:[VOC]])</calculatedColumnFormula>
      <totalsRowFormula>AVERAGE('MM_2B. Emissions Backup'!I146:I175)</totalsRowFormula>
    </tableColumn>
  </tableColumns>
  <tableStyleInfo name="TableStyleLight9"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46B9D436-ADAE-467E-A738-4816016E5439}" name="Table2.3_EmSummary" displayName="Table2.3_EmSummary" ref="B40:I41" totalsRowShown="0" headerRowDxfId="1107" dataDxfId="1106">
  <autoFilter ref="B40:I41" xr:uid="{46B9D436-ADAE-467E-A738-4816016E5439}"/>
  <tableColumns count="8">
    <tableColumn id="1" xr3:uid="{FAAD07C5-CC58-499F-B43A-0259818CCE1C}" name="Year" dataDxfId="1105"/>
    <tableColumn id="2" xr3:uid="{24C3A57C-E4DD-41AC-AB5A-19AEB0B85702}" name="NOX" dataDxfId="1104">
      <calculatedColumnFormula>Table2B.4_AQ_Dollars[[#Totals],[NOX]]</calculatedColumnFormula>
    </tableColumn>
    <tableColumn id="3" xr3:uid="{CAB67A3F-2890-45CA-96A2-278BD8B4FCA6}" name="SOx" dataDxfId="1103">
      <calculatedColumnFormula>Table2B.4_AQ_Dollars[[#Totals],[SOx]]</calculatedColumnFormula>
    </tableColumn>
    <tableColumn id="4" xr3:uid="{5647D3FF-6047-4487-8E41-A2A5F05EC2BC}" name="PM2.5" dataDxfId="1102">
      <calculatedColumnFormula>Table2B.4_AQ_Dollars[[#Totals],[PM2.5]]</calculatedColumnFormula>
    </tableColumn>
    <tableColumn id="5" xr3:uid="{13094567-EAA2-4F3B-BD6F-8B2330422FBF}" name="CO2" dataDxfId="1101">
      <calculatedColumnFormula>Table2B.4_AQ_Dollars[[#Totals],[CO2]]</calculatedColumnFormula>
    </tableColumn>
    <tableColumn id="6" xr3:uid="{0B196485-97C0-4D1D-A8AA-90F972DF8845}" name="PM10" dataDxfId="1100">
      <calculatedColumnFormula>Table2B.4_AQ_Dollars[[#Totals],[PM10]]</calculatedColumnFormula>
    </tableColumn>
    <tableColumn id="7" xr3:uid="{A31E8480-0CEE-4AEF-B518-30431C9B8324}" name="VOC" dataDxfId="1099">
      <calculatedColumnFormula>Table2B.4_AQ_Dollars[[#Totals],[VOC]]</calculatedColumnFormula>
    </tableColumn>
    <tableColumn id="8" xr3:uid="{8B581D08-45B5-40D0-A0E7-EF32AE63B57E}" name="30-Year Total" dataDxfId="1098">
      <calculatedColumnFormula>Table2B.4_AQ_Dollars[[#Totals],[Total]]</calculatedColumnFormula>
    </tableColumn>
  </tableColumns>
  <tableStyleInfo name="TableStyleLight14"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6BB16CE4-0EC2-4F86-B987-923927B1D170}" name="Table25" displayName="Table25" ref="B181:I218" totalsRowCount="1" headerRowDxfId="1097" dataDxfId="1096" totalsRowDxfId="1095">
  <autoFilter ref="B181:I217" xr:uid="{6BB16CE4-0EC2-4F86-B987-923927B1D170}"/>
  <tableColumns count="8">
    <tableColumn id="1" xr3:uid="{59B9E705-A326-4131-B449-E40F13E59BF4}" name="Year" totalsRowLabel="Total" dataDxfId="1094" totalsRowDxfId="1093">
      <calculatedColumnFormula>First_Year+'Appendix B. Project Information'!B20</calculatedColumnFormula>
    </tableColumn>
    <tableColumn id="2" xr3:uid="{344BE135-1028-4CF5-99B7-5EE381741ADC}" name="NOX" totalsRowFunction="sum" dataDxfId="1092" totalsRowDxfId="1091"/>
    <tableColumn id="3" xr3:uid="{C5963C07-37E4-4560-AE4F-618FB70E0838}" name="SOx" totalsRowFunction="sum" dataDxfId="1090" totalsRowDxfId="1089"/>
    <tableColumn id="4" xr3:uid="{0ECE013E-5393-4166-ADE6-49036E85FE47}" name="PM2.5" totalsRowFunction="sum" dataDxfId="1088" totalsRowDxfId="1087"/>
    <tableColumn id="5" xr3:uid="{FB101E0E-C8C5-4F9F-810B-F6B2FFDB2973}" name="CO2" totalsRowFunction="sum" dataDxfId="1086" totalsRowDxfId="1085"/>
    <tableColumn id="6" xr3:uid="{DBAA31E5-0EE0-457B-9E24-C1E55CB63479}" name="PM10" totalsRowFunction="sum" dataDxfId="1084" totalsRowDxfId="1083"/>
    <tableColumn id="7" xr3:uid="{CA2AB2BE-9F21-42DF-8133-65C756B330EE}" name="VOC" totalsRowFunction="sum" dataDxfId="1082" totalsRowDxfId="1081"/>
    <tableColumn id="8" xr3:uid="{E6A28E2A-DABC-49B6-8D86-D05C01E6D85A}" name="Total" totalsRowFunction="sum" dataDxfId="1080" totalsRowDxfId="1079">
      <calculatedColumnFormula>IF(Table25[[#This Row],[Year]]&gt;Closeout,SUM(C182:H182),0)</calculatedColumnFormula>
    </tableColumn>
  </tableColumns>
  <tableStyleInfo name="TableStyleLight1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A70823B5-FC06-4676-8C7F-D8DFCBAC4205}" name="Table2B.2_AQ_PA" displayName="Table2B.2_AQ_PA" ref="B57:I94" totalsRowCount="1" headerRowDxfId="1078" dataDxfId="1077" totalsRowDxfId="1076">
  <autoFilter ref="B57:I93" xr:uid="{A70823B5-FC06-4676-8C7F-D8DFCBAC4205}"/>
  <tableColumns count="8">
    <tableColumn id="1" xr3:uid="{3B318472-FAA1-49E6-B356-93258C473E43}" name="Year" totalsRowLabel="Total" dataDxfId="1075" totalsRowDxfId="1074">
      <calculatedColumnFormula>First_Year+'Appendix B. Project Information'!B20</calculatedColumnFormula>
    </tableColumn>
    <tableColumn id="2" xr3:uid="{1EF9DAAB-7025-41E8-946A-48472D305266}" name="NOX" totalsRowFunction="sum" dataDxfId="1073" totalsRowDxfId="1072" dataCellStyle="Comma"/>
    <tableColumn id="3" xr3:uid="{8628EBA2-775C-4E5C-8645-1BA542F72EB1}" name="SOx" totalsRowFunction="sum" dataDxfId="1071" totalsRowDxfId="1070" dataCellStyle="Comma"/>
    <tableColumn id="4" xr3:uid="{7DD6578C-4F74-4437-A0C5-710FC6DF82EE}" name="PM2.5" totalsRowFunction="sum" dataDxfId="1069" totalsRowDxfId="1068" dataCellStyle="Comma"/>
    <tableColumn id="5" xr3:uid="{9B74F73D-8E84-42FD-8981-FAFFF67DFC40}" name="CO2" totalsRowFunction="sum" dataDxfId="1067" totalsRowDxfId="1066" dataCellStyle="Comma"/>
    <tableColumn id="6" xr3:uid="{73BAEBE9-89A3-405A-AA4A-4B393765DE80}" name="PM10" totalsRowFunction="sum" dataDxfId="1065" totalsRowDxfId="1064" dataCellStyle="Comma"/>
    <tableColumn id="7" xr3:uid="{E3994BC0-7B83-4380-9AC8-84CF594EAA14}" name="VOC" totalsRowFunction="sum" dataDxfId="1063" totalsRowDxfId="1062" dataCellStyle="Comma"/>
    <tableColumn id="8" xr3:uid="{BB386F66-3474-44B6-A6BA-3DD5744527C8}" name="Total" totalsRowFunction="sum" totalsRowDxfId="1061" dataCellStyle="Calculation">
      <calculatedColumnFormula>SUM(Table2B.2_AQ_PA[[#This Row],[NOX]:[VOC]])</calculatedColumnFormula>
    </tableColumn>
  </tableColumns>
  <tableStyleInfo name="TableStyleLight1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18D49A1D-2EA2-40AE-B22D-49908A7D6FB8}" name="Table2B.1_AQ_NB" displayName="Table2B.1_AQ_NB" ref="B16:I53" totalsRowCount="1" headerRowDxfId="1060" dataDxfId="1059" totalsRowDxfId="1058">
  <autoFilter ref="B16:I52" xr:uid="{18D49A1D-2EA2-40AE-B22D-49908A7D6FB8}"/>
  <tableColumns count="8">
    <tableColumn id="1" xr3:uid="{8926E6C4-D966-4E18-83B2-549C9B302A74}" name="Year" totalsRowLabel="Total" dataDxfId="1057" totalsRowDxfId="1056">
      <calculatedColumnFormula>First_Year+'Appendix B. Project Information'!B20</calculatedColumnFormula>
    </tableColumn>
    <tableColumn id="2" xr3:uid="{B90946D3-ACFA-4CDD-817B-4CF4D222FB37}" name="NOX" totalsRowFunction="sum" dataDxfId="1055" totalsRowDxfId="1054" dataCellStyle="Comma"/>
    <tableColumn id="3" xr3:uid="{71C44890-CF7C-4432-87A3-F548B0D46510}" name="SOx" totalsRowFunction="sum" dataDxfId="1053" totalsRowDxfId="1052" dataCellStyle="Comma"/>
    <tableColumn id="4" xr3:uid="{8B20FA7E-BC13-4AAA-BFE6-3DE0E92FFF9A}" name="PM2.5" totalsRowFunction="sum" dataDxfId="1051" totalsRowDxfId="1050" dataCellStyle="Comma"/>
    <tableColumn id="5" xr3:uid="{F9F25799-E3BA-4DFE-BDF5-385A3AEEB193}" name="CO2" totalsRowFunction="sum" dataDxfId="1049" totalsRowDxfId="1048" dataCellStyle="Comma"/>
    <tableColumn id="6" xr3:uid="{527F2776-A0D5-4140-8317-C654868B1F0C}" name="PM10" totalsRowFunction="sum" dataDxfId="1047" totalsRowDxfId="1046" dataCellStyle="Comma"/>
    <tableColumn id="7" xr3:uid="{4DF0AA08-736E-4491-BCA4-E7048C642A9E}" name="VOC" totalsRowFunction="sum" dataDxfId="1045" totalsRowDxfId="1044" dataCellStyle="Comma"/>
    <tableColumn id="8" xr3:uid="{1F6280B6-9FE8-4FA9-9E8F-05B5A1DFAF2D}" name="Total" totalsRowFunction="sum" dataDxfId="1043" totalsRowDxfId="1042" dataCellStyle="Calculation">
      <calculatedColumnFormula>SUM(Table2B.1_AQ_NB[[#This Row],[NOX]:[VOC]])</calculatedColumnFormula>
    </tableColumn>
  </tableColumns>
  <tableStyleInfo name="TableStyleLight1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72B7882F-5521-464A-B35C-A3A2643E2E21}" name="Table2B.3_AQ_Dif" displayName="Table2B.3_AQ_Dif" ref="B98:I135" totalsRowCount="1" headerRowDxfId="1041" dataDxfId="1040" totalsRowDxfId="1039">
  <autoFilter ref="B98:I134" xr:uid="{72B7882F-5521-464A-B35C-A3A2643E2E21}"/>
  <tableColumns count="8">
    <tableColumn id="1" xr3:uid="{DF851118-0B1D-47E0-8B89-ED344C5E3586}" name="Year" totalsRowLabel="Total" dataDxfId="1038" totalsRowDxfId="1037">
      <calculatedColumnFormula>First_Year+'Appendix B. Project Information'!B20</calculatedColumnFormula>
    </tableColumn>
    <tableColumn id="2" xr3:uid="{26945C89-36E3-44F3-BDB7-F29DF8348E95}" name="NOX" totalsRowFunction="sum" dataDxfId="1036" totalsRowDxfId="1035" dataCellStyle="Calculation">
      <calculatedColumnFormula>C17-C58</calculatedColumnFormula>
    </tableColumn>
    <tableColumn id="3" xr3:uid="{1DBFF7A1-AC8E-417E-A833-A7B8DD8CAFAC}" name="SOx" totalsRowFunction="sum" totalsRowDxfId="1034" dataCellStyle="Calculation">
      <calculatedColumnFormula>D17-D58</calculatedColumnFormula>
    </tableColumn>
    <tableColumn id="4" xr3:uid="{83502C59-F972-4D02-9243-810FA51B1A78}" name="PM2.5" totalsRowFunction="sum" totalsRowDxfId="1033" dataCellStyle="Calculation">
      <calculatedColumnFormula>E17-E58</calculatedColumnFormula>
    </tableColumn>
    <tableColumn id="5" xr3:uid="{D6291DD2-BE6A-4196-994E-A47B83A59188}" name="CO2" totalsRowFunction="sum" totalsRowDxfId="1032" dataCellStyle="Calculation">
      <calculatedColumnFormula>F17-F58</calculatedColumnFormula>
    </tableColumn>
    <tableColumn id="6" xr3:uid="{91504AD3-C305-43A0-B339-44D75CCB6732}" name="PM10" totalsRowFunction="sum" totalsRowDxfId="1031" dataCellStyle="Calculation">
      <calculatedColumnFormula>G17-G58</calculatedColumnFormula>
    </tableColumn>
    <tableColumn id="7" xr3:uid="{796685F2-D0A6-4455-BB3E-01EE2A7A14F2}" name="VOC" totalsRowFunction="sum" totalsRowDxfId="1030" dataCellStyle="Calculation">
      <calculatedColumnFormula>H17-H58</calculatedColumnFormula>
    </tableColumn>
    <tableColumn id="8" xr3:uid="{9B275E7C-3063-4C72-B624-9D0DDDEF180B}" name="Total" totalsRowFunction="sum" totalsRowDxfId="1029" dataCellStyle="Calculation">
      <calculatedColumnFormula>SUM(Table2B.3_AQ_Dif[[#This Row],[NOX]:[VOC]])</calculatedColumnFormula>
    </tableColumn>
  </tableColumns>
  <tableStyleInfo name="TableStyleLight1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1B8DEB15-FC85-47CF-BEDE-A9A5C438C4DB}" name="Table2B.4_AQ_Dollars" displayName="Table2B.4_AQ_Dollars" ref="B139:I176" totalsRowCount="1" headerRowDxfId="1028" dataDxfId="1027" totalsRowDxfId="1026">
  <autoFilter ref="B139:I175" xr:uid="{1B8DEB15-FC85-47CF-BEDE-A9A5C438C4DB}"/>
  <tableColumns count="8">
    <tableColumn id="1" xr3:uid="{4B465C7C-E830-4168-A9C4-08BAF08C7E2A}" name="Year" totalsRowLabel="Total" dataDxfId="1025" totalsRowDxfId="1024">
      <calculatedColumnFormula>First_Year+'Appendix B. Project Information'!B20</calculatedColumnFormula>
    </tableColumn>
    <tableColumn id="2" xr3:uid="{008F64F0-5AD4-484B-84A9-95D66CE3339E}" name="NOX" totalsRowFunction="sum" dataDxfId="1023" totalsRowDxfId="1022" dataCellStyle="Currency" totalsRowCellStyle="Currency">
      <calculatedColumnFormula>IFERROR(IF(Table2B.4_AQ_Dollars[[#This Row],[Year]]&gt;Closeout,(C99*INDEX(TableA6_Emissions[#All],MATCH(Table2B.4_AQ_Dollars[[#This Row],[Year]],TableA6_Emissions[Year],0),MATCH(Table2B.4_AQ_Dollars[[#Headers],[NOX]],TableA6_Emissions[#Headers],0))),0),0)</calculatedColumnFormula>
    </tableColumn>
    <tableColumn id="3" xr3:uid="{A3CD80C9-78F0-44A1-A737-18CADB6C2232}" name="SOx" totalsRowFunction="sum" dataDxfId="1021" totalsRowDxfId="1020" dataCellStyle="Currency" totalsRowCellStyle="Currency">
      <calculatedColumnFormula>IFERROR(IF(Table2B.4_AQ_Dollars[[#This Row],[Year]]&gt;Closeout,(D99*INDEX(TableA6_Emissions[#All],MATCH(Table2B.4_AQ_Dollars[[#This Row],[Year]],TableA6_Emissions[Year],0),MATCH(Table2B.4_AQ_Dollars[[#Headers],[SOx]],TableA6_Emissions[#Headers],0))),0),0)</calculatedColumnFormula>
    </tableColumn>
    <tableColumn id="4" xr3:uid="{94E2AEEC-11C9-44E0-A73F-2668D5DB0E67}" name="PM2.5" totalsRowFunction="sum" dataDxfId="1019" totalsRowDxfId="1018" dataCellStyle="Currency" totalsRowCellStyle="Currency">
      <calculatedColumnFormula>IFERROR(IF(Table2B.4_AQ_Dollars[[#This Row],[Year]]&gt;Closeout,(E99*INDEX(TableA6_Emissions[#All],MATCH(Table2B.4_AQ_Dollars[[#This Row],[Year]],TableA6_Emissions[Year],0),MATCH(Table2B.4_AQ_Dollars[[#Headers],[PM2.5]],TableA6_Emissions[#Headers],0))),0),0)</calculatedColumnFormula>
    </tableColumn>
    <tableColumn id="5" xr3:uid="{2D36AA1D-B7BE-4E2E-8AAE-5F8E2BC97480}" name="CO2" totalsRowFunction="sum" dataDxfId="1017" totalsRowDxfId="1016" dataCellStyle="Currency" totalsRowCellStyle="Currency">
      <calculatedColumnFormula>IFERROR(IF(Table2B.4_AQ_Dollars[[#This Row],[Year]]&gt;Closeout,F99*INDEX(TableA6_Emissions[#All],MATCH(Table2B.4_AQ_Dollars[[#This Row],[Year]],TableA6_Emissions[Year],0),MATCH(Table2B.4_AQ_Dollars[[#Headers],[CO2]],TableA6_Emissions[#Headers],0)),0),0)</calculatedColumnFormula>
    </tableColumn>
    <tableColumn id="6" xr3:uid="{30F5ED89-B766-4322-8BE9-2CB887E29EFD}" name="PM10" totalsRowFunction="sum" dataDxfId="1015" totalsRowDxfId="1014" dataCellStyle="Currency" totalsRowCellStyle="Currency">
      <calculatedColumnFormula>IFERROR(G99*INDEX(TableA6_Emissions[#All],MATCH(Table2B.4_AQ_Dollars[[#This Row],[Year]],TableA6_Emissions[Year],0),MATCH(Table2B.4_AQ_Dollars[[#Headers],[PM10]],TableA6_Emissions[#Headers],0)),0)</calculatedColumnFormula>
    </tableColumn>
    <tableColumn id="7" xr3:uid="{70F97AA7-F6E9-499C-88B8-1CFA8BD0D585}" name="VOC" totalsRowFunction="sum" dataDxfId="1013" totalsRowDxfId="1012" dataCellStyle="Currency" totalsRowCellStyle="Currency">
      <calculatedColumnFormula>IFERROR(H99*INDEX(TableA6_Emissions[#All],MATCH(Table2B.4_AQ_Dollars[[#This Row],[Year]],TableA6_Emissions[Year],0),MATCH(Table2B.4_AQ_Dollars[[#Headers],[VOC]],TableA6_Emissions[#Headers],0)),0)</calculatedColumnFormula>
    </tableColumn>
    <tableColumn id="8" xr3:uid="{407F6626-CD3C-4C5E-BDCD-9B79B1AF622F}" name="Total" totalsRowFunction="sum" totalsRowDxfId="1011" dataCellStyle="Currency" totalsRowCellStyle="Currency">
      <calculatedColumnFormula>SUM(Table2B.4_AQ_Dollars[[#This Row],[NOX]:[VOC]])</calculatedColumnFormula>
    </tableColumn>
  </tableColumns>
  <tableStyleInfo name="TableStyleLight1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BDE3133E-3F4F-4942-AED7-880BCAFC8D16}" name="Table2.1_EmRed86" displayName="Table2.1_EmRed86" ref="B16:I24" totalsRowCount="1" headerRowDxfId="1010" dataDxfId="1009" dataCellStyle="Comma">
  <autoFilter ref="B16:I23" xr:uid="{63A7F75A-7D5F-42A6-9A6C-F13F773B3493}"/>
  <tableColumns count="8">
    <tableColumn id="1" xr3:uid="{A491FEE2-FDB6-4ECB-8788-5F107B85CF58}" name="Year" totalsRowLabel="Average" dataDxfId="1008" totalsRowDxfId="1007"/>
    <tableColumn id="2" xr3:uid="{FC4B9436-FE0A-4564-858D-81CE5E4DA34C}" name="NOX" totalsRowFunction="custom" dataDxfId="1006" totalsRowDxfId="1005" dataCellStyle="Comma">
      <calculatedColumnFormula array="1">IFERROR(INDEX(Table2B.3_AQ_Dif92[[#Headers],[#Data],[Year]:[VOC]],MATCH(Table2.1_EmRed86[[#This Row],[Year]:[Year]],Table2B.3_AQ_Dif92[[#Headers],[#Data],[Year]:[Year]],0),MATCH(Table2.1_EmRed86[[#Headers],[NOX]],Table2B.3_AQ_Dif92[[#Headers],[Year]:[VOC]],0)),"")</calculatedColumnFormula>
      <totalsRowFormula>AVERAGE('Q_2B. Emissions Backup'!C104:C134)</totalsRowFormula>
    </tableColumn>
    <tableColumn id="3" xr3:uid="{ED828E75-5275-4147-852E-55276AFCA6CE}" name="SOx" totalsRowFunction="custom" dataDxfId="1004" totalsRowDxfId="1003" dataCellStyle="Comma">
      <calculatedColumnFormula array="1">IFERROR(INDEX(Table2B.3_AQ_Dif92[[#Headers],[#Data],[Year]:[VOC]],MATCH(Table2.1_EmRed86[[#This Row],[Year]:[Year]],Table2B.3_AQ_Dif92[[#Headers],[#Data],[Year]:[Year]],0),MATCH(Table2.1_EmRed86[[#Headers],[SOx]],Table2B.3_AQ_Dif92[[#Headers],[Year]:[VOC]],0)),"")</calculatedColumnFormula>
      <totalsRowFormula>AVERAGE('Q_2B. Emissions Backup'!D104:D134)</totalsRowFormula>
    </tableColumn>
    <tableColumn id="4" xr3:uid="{CBCEC4E6-93AE-48AE-8CC6-5FCCCD8818F5}" name="PM2.5" totalsRowFunction="custom" dataDxfId="1002" totalsRowDxfId="1001" dataCellStyle="Comma">
      <calculatedColumnFormula array="1">IFERROR(INDEX(Table2B.3_AQ_Dif92[[#Headers],[#Data],[Year]:[VOC]],MATCH(Table2.1_EmRed86[[#This Row],[Year]:[Year]],Table2B.3_AQ_Dif92[[#Headers],[#Data],[Year]:[Year]],0),MATCH(Table2.1_EmRed86[[#Headers],[PM2.5]],Table2B.3_AQ_Dif92[[#Headers],[Year]:[VOC]],0)),"")</calculatedColumnFormula>
      <totalsRowFormula>AVERAGE('Q_2B. Emissions Backup'!E104:E134)</totalsRowFormula>
    </tableColumn>
    <tableColumn id="5" xr3:uid="{06A1A42E-307E-49B7-82C7-D8C78D611517}" name="CO2" totalsRowFunction="custom" dataDxfId="1000" totalsRowDxfId="999" dataCellStyle="Comma">
      <calculatedColumnFormula array="1">IFERROR(INDEX(Table2B.3_AQ_Dif92[[#Headers],[#Data],[Year]:[VOC]],MATCH(Table2.1_EmRed86[[#This Row],[Year]:[Year]],Table2B.3_AQ_Dif92[[#Headers],[#Data],[Year]:[Year]],0),MATCH(Table2.1_EmRed86[[#Headers],[CO2]],Table2B.3_AQ_Dif92[[#Headers],[Year]:[VOC]],0)),"")</calculatedColumnFormula>
      <totalsRowFormula>AVERAGE('Q_2B. Emissions Backup'!F104:F134)</totalsRowFormula>
    </tableColumn>
    <tableColumn id="6" xr3:uid="{281829E1-4CD5-4906-BCA8-39772DA7AD85}" name="PM10" totalsRowFunction="custom" dataDxfId="998" totalsRowDxfId="997" dataCellStyle="Comma">
      <calculatedColumnFormula array="1">IFERROR(INDEX(Table2B.3_AQ_Dif92[[#Headers],[#Data],[Year]:[VOC]],MATCH(Table2.1_EmRed86[[#This Row],[Year]:[Year]],Table2B.3_AQ_Dif92[[#Headers],[#Data],[Year]:[Year]],0),MATCH(Table2.1_EmRed86[[#Headers],[PM10]],Table2B.3_AQ_Dif92[[#Headers],[Year]:[VOC]],0)),"")</calculatedColumnFormula>
      <totalsRowFormula>AVERAGE('Q_2B. Emissions Backup'!G104:G134)</totalsRowFormula>
    </tableColumn>
    <tableColumn id="7" xr3:uid="{33971382-6CA9-4983-B82E-DBADA61CB694}" name="VOC" totalsRowFunction="custom" dataDxfId="996" totalsRowDxfId="995" dataCellStyle="Comma">
      <calculatedColumnFormula array="1">IFERROR(INDEX(Table2B.3_AQ_Dif92[[#Headers],[#Data],[Year]:[VOC]],MATCH(Table2.1_EmRed86[[#This Row],[Year]:[Year]],Table2B.3_AQ_Dif92[[#Headers],[#Data],[Year]:[Year]],0),MATCH(Table2.1_EmRed86[[#Headers],[VOC]],Table2B.3_AQ_Dif92[[#Headers],[Year]:[VOC]],0)),"")</calculatedColumnFormula>
      <totalsRowFormula>AVERAGE('Q_2B. Emissions Backup'!H104:H134)</totalsRowFormula>
    </tableColumn>
    <tableColumn id="8" xr3:uid="{9AF9D256-0711-4B66-AAD7-E220FF65DA00}" name="Total" totalsRowFunction="custom" dataDxfId="994" totalsRowDxfId="993" dataCellStyle="Comma">
      <calculatedColumnFormula>SUM(Table2.1_EmRed86[[#This Row],[NOX]:[VOC]])</calculatedColumnFormula>
      <totalsRowFormula>AVERAGE('Q_2B. Emissions Backup'!I104:I134)</totalsRowFormula>
    </tableColumn>
  </tableColumns>
  <tableStyleInfo name="TableStyleLight9"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2CA821D3-8B0F-42C3-913B-A91749030B56}" name="Table2.2_EmMoney87" displayName="Table2.2_EmMoney87" ref="B28:I36" totalsRowCount="1" headerRowDxfId="992" dataDxfId="991" dataCellStyle="Comma">
  <autoFilter ref="B28:I35" xr:uid="{E6775E9C-1977-457E-A9F4-FF0CEA3FBEB3}"/>
  <tableColumns count="8">
    <tableColumn id="1" xr3:uid="{9FCAC26E-53FA-403E-A8CC-0385E9FA6A5B}" name="Year" totalsRowLabel="Average" dataDxfId="990" totalsRowDxfId="989"/>
    <tableColumn id="2" xr3:uid="{313DF34B-6786-4C30-A9D8-84D5B3419C64}" name="NOX" totalsRowFunction="custom" dataDxfId="988" totalsRowDxfId="987" dataCellStyle="Currency">
      <calculatedColumnFormula array="1">IFERROR(INDEX(Table2B.4_AQ_Dollars93[[#Headers],[#Data],[Year]:[VOC]],MATCH(Table2.2_EmMoney87[[#This Row],[Year]:[Year]],Table2B.4_AQ_Dollars93[[#Headers],[#Data],[Year]:[Year]],0),MATCH(Table2.2_EmMoney87[[#Headers],[NOX]],Table2B.4_AQ_Dollars93[[#Headers],[Year]:[VOC]],0)),"")</calculatedColumnFormula>
      <totalsRowFormula>AVERAGE('Q_2B. Emissions Backup'!C146:C175)</totalsRowFormula>
    </tableColumn>
    <tableColumn id="3" xr3:uid="{3273030C-6CA9-4F0F-81AE-04D0D4DE0C46}" name="SOx" totalsRowFunction="custom" dataDxfId="986" totalsRowDxfId="985" dataCellStyle="Currency">
      <calculatedColumnFormula array="1">IFERROR(INDEX(Table2B.4_AQ_Dollars93[[#Headers],[#Data],[Year]:[VOC]],MATCH(Table2.2_EmMoney87[[#This Row],[Year]:[Year]],Table2B.4_AQ_Dollars93[[#Headers],[#Data],[Year]:[Year]],0),MATCH(Table2.2_EmMoney87[[#Headers],[SOx]],Table2B.4_AQ_Dollars93[[#Headers],[Year]:[VOC]],0)),"")</calculatedColumnFormula>
      <totalsRowFormula>AVERAGE('Q_2B. Emissions Backup'!D146:D175)</totalsRowFormula>
    </tableColumn>
    <tableColumn id="4" xr3:uid="{F7001146-B7AC-4E40-9ABE-5A722CCC489D}" name="PM2.5" totalsRowFunction="custom" dataDxfId="984" totalsRowDxfId="983" dataCellStyle="Currency">
      <calculatedColumnFormula array="1">IFERROR(INDEX(Table2B.4_AQ_Dollars93[[#Headers],[#Data],[Year]:[VOC]],MATCH(Table2.2_EmMoney87[[#This Row],[Year]:[Year]],Table2B.4_AQ_Dollars93[[#Headers],[#Data],[Year]:[Year]],0),MATCH(Table2.2_EmMoney87[[#Headers],[PM2.5]],Table2B.4_AQ_Dollars93[[#Headers],[Year]:[VOC]],0)),"")</calculatedColumnFormula>
      <totalsRowFormula>AVERAGE('Q_2B. Emissions Backup'!E146:E175)</totalsRowFormula>
    </tableColumn>
    <tableColumn id="5" xr3:uid="{E63B1060-E0B0-4456-BBE0-E81FF7FCCE44}" name="CO2" totalsRowFunction="custom" dataDxfId="982" totalsRowDxfId="981" dataCellStyle="Currency">
      <calculatedColumnFormula array="1">IFERROR(INDEX(Table2B.4_AQ_Dollars93[[#Headers],[#Data],[Year]:[VOC]],MATCH(Table2.2_EmMoney87[[#This Row],[Year]:[Year]],Table2B.4_AQ_Dollars93[[#Headers],[#Data],[Year]:[Year]],0),MATCH(Table2.2_EmMoney87[[#Headers],[CO2]],Table2B.4_AQ_Dollars93[[#Headers],[Year]:[VOC]],0)),"")</calculatedColumnFormula>
      <totalsRowFormula>AVERAGE('Q_2B. Emissions Backup'!F146:F175)</totalsRowFormula>
    </tableColumn>
    <tableColumn id="6" xr3:uid="{286ABB5A-D5B5-45CF-ACDB-9DB366B4C4D7}" name="PM10" totalsRowFunction="custom" dataDxfId="980" totalsRowDxfId="979" dataCellStyle="Currency">
      <calculatedColumnFormula array="1">IFERROR(INDEX(Table2B.4_AQ_Dollars93[[#Headers],[#Data],[Year]:[VOC]],MATCH(Table2.2_EmMoney87[[#This Row],[Year]:[Year]],Table2B.4_AQ_Dollars93[[#Headers],[#Data],[Year]:[Year]],0),MATCH(Table2.2_EmMoney87[[#Headers],[PM10]],Table2B.4_AQ_Dollars93[[#Headers],[Year]:[VOC]],0)),"")</calculatedColumnFormula>
      <totalsRowFormula>AVERAGE('Q_2B. Emissions Backup'!G146:G175)</totalsRowFormula>
    </tableColumn>
    <tableColumn id="7" xr3:uid="{8F07162F-90B4-4B00-967B-E4911BC5A188}" name="VOC" totalsRowFunction="custom" dataDxfId="978" totalsRowDxfId="977" dataCellStyle="Currency">
      <calculatedColumnFormula array="1">IFERROR(INDEX(Table2B.4_AQ_Dollars93[[#Headers],[#Data],[Year]:[VOC]],MATCH(Table2.2_EmMoney87[[#This Row],[Year]:[Year]],Table2B.4_AQ_Dollars93[[#Headers],[#Data],[Year]:[Year]],0),MATCH(Table2.2_EmMoney87[[#Headers],[VOC]],Table2B.4_AQ_Dollars93[[#Headers],[Year]:[VOC]],0)),"")</calculatedColumnFormula>
      <totalsRowFormula>AVERAGE('Q_2B. Emissions Backup'!H146:H175)</totalsRowFormula>
    </tableColumn>
    <tableColumn id="8" xr3:uid="{1069B370-CB97-4171-A333-4647396DC2CF}" name="Total" totalsRowFunction="custom" dataDxfId="976" totalsRowDxfId="975" dataCellStyle="Currency">
      <calculatedColumnFormula>SUM(Table2.2_EmMoney87[[#This Row],[NOX]:[VOC]])</calculatedColumnFormula>
      <totalsRowFormula>AVERAGE('Q_2B. Emissions Backup'!I146:I175)</totalsRowFormula>
    </tableColumn>
  </tableColumns>
  <tableStyleInfo name="TableStyleLight9"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9BA83F44-B001-4D23-B1EA-FF04C797790D}" name="Table2.3_EmSummary88" displayName="Table2.3_EmSummary88" ref="B40:I41" totalsRowShown="0" headerRowDxfId="974" dataDxfId="973">
  <autoFilter ref="B40:I41" xr:uid="{46B9D436-ADAE-467E-A738-4816016E5439}"/>
  <tableColumns count="8">
    <tableColumn id="1" xr3:uid="{FAAD07C5-CC58-499F-B43A-0259818CCE1C}" name="Year" dataDxfId="972"/>
    <tableColumn id="2" xr3:uid="{24C3A57C-E4DD-41AC-AB5A-19AEB0B85702}" name="NOX" dataDxfId="971">
      <calculatedColumnFormula>Table2B.4_AQ_Dollars93[[#Totals],[NOX]]</calculatedColumnFormula>
    </tableColumn>
    <tableColumn id="3" xr3:uid="{CAB67A3F-2890-45CA-96A2-278BD8B4FCA6}" name="SOx" dataDxfId="970">
      <calculatedColumnFormula>Table2B.4_AQ_Dollars93[[#Totals],[SOx]]</calculatedColumnFormula>
    </tableColumn>
    <tableColumn id="4" xr3:uid="{5647D3FF-6047-4487-8E41-A2A5F05EC2BC}" name="PM2.5" dataDxfId="969">
      <calculatedColumnFormula>Table2B.4_AQ_Dollars93[[#Totals],[PM2.5]]</calculatedColumnFormula>
    </tableColumn>
    <tableColumn id="5" xr3:uid="{13094567-EAA2-4F3B-BD6F-8B2330422FBF}" name="CO2" dataDxfId="968">
      <calculatedColumnFormula>Table2B.4_AQ_Dollars93[[#Totals],[CO2]]</calculatedColumnFormula>
    </tableColumn>
    <tableColumn id="6" xr3:uid="{0B196485-97C0-4D1D-A8AA-90F972DF8845}" name="PM10" dataDxfId="967">
      <calculatedColumnFormula>Table2B.4_AQ_Dollars93[[#Totals],[PM10]]</calculatedColumnFormula>
    </tableColumn>
    <tableColumn id="7" xr3:uid="{A31E8480-0CEE-4AEF-B518-30431C9B8324}" name="VOC" dataDxfId="966">
      <calculatedColumnFormula>Table2B.4_AQ_Dollars93[[#Totals],[VOC]]</calculatedColumnFormula>
    </tableColumn>
    <tableColumn id="8" xr3:uid="{8B581D08-45B5-40D0-A0E7-EF32AE63B57E}" name="30-Year Total" dataDxfId="965">
      <calculatedColumnFormula>Table2B.4_AQ_Dollars93[[#Totals],[Total]]</calculatedColumnFormula>
    </tableColumn>
  </tableColumns>
  <tableStyleInfo name="TableStyleLight14"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78396AE9-6AFE-459C-9554-58520A068D31}" name="Table2589" displayName="Table2589" ref="B181:I218" totalsRowCount="1" headerRowDxfId="964" dataDxfId="963" totalsRowDxfId="962">
  <autoFilter ref="B181:I217" xr:uid="{6BB16CE4-0EC2-4F86-B987-923927B1D170}"/>
  <tableColumns count="8">
    <tableColumn id="1" xr3:uid="{59B9E705-A326-4131-B449-E40F13E59BF4}" name="Year" totalsRowLabel="Total" dataDxfId="961" totalsRowDxfId="960">
      <calculatedColumnFormula>First_Year+'Q_Appendix B. Project Info'!B20</calculatedColumnFormula>
    </tableColumn>
    <tableColumn id="2" xr3:uid="{344BE135-1028-4CF5-99B7-5EE381741ADC}" name="NOX" totalsRowFunction="sum" dataDxfId="959" totalsRowDxfId="958"/>
    <tableColumn id="3" xr3:uid="{C5963C07-37E4-4560-AE4F-618FB70E0838}" name="SOx" totalsRowFunction="sum" dataDxfId="957" totalsRowDxfId="956"/>
    <tableColumn id="4" xr3:uid="{0ECE013E-5393-4166-ADE6-49036E85FE47}" name="PM2.5" totalsRowFunction="sum" dataDxfId="955" totalsRowDxfId="954"/>
    <tableColumn id="5" xr3:uid="{FB101E0E-C8C5-4F9F-810B-F6B2FFDB2973}" name="CO2" totalsRowFunction="sum" dataDxfId="953" totalsRowDxfId="952"/>
    <tableColumn id="6" xr3:uid="{DBAA31E5-0EE0-457B-9E24-C1E55CB63479}" name="PM10" totalsRowFunction="sum" dataDxfId="951" totalsRowDxfId="950"/>
    <tableColumn id="7" xr3:uid="{CA2AB2BE-9F21-42DF-8133-65C756B330EE}" name="VOC" totalsRowFunction="sum" dataDxfId="949" totalsRowDxfId="948"/>
    <tableColumn id="8" xr3:uid="{E6A28E2A-DABC-49B6-8D86-D05C01E6D85A}" name="Total" totalsRowFunction="sum" dataDxfId="947" totalsRowDxfId="946">
      <calculatedColumnFormula>IF(Table2589[[#This Row],[Year]]&gt;Closeout,SUM(C182:H182),0)</calculatedColumnFormula>
    </tableColumn>
  </tableColumns>
  <tableStyleInfo name="TableStyleLight1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4C804C78-368E-4BC9-8C08-AD2DC47CBB32}" name="Table2B.2_AQ_PA90" displayName="Table2B.2_AQ_PA90" ref="B57:I94" totalsRowCount="1" headerRowDxfId="945" dataDxfId="944" totalsRowDxfId="943">
  <autoFilter ref="B57:I93" xr:uid="{A70823B5-FC06-4676-8C7F-D8DFCBAC4205}"/>
  <tableColumns count="8">
    <tableColumn id="1" xr3:uid="{3B318472-FAA1-49E6-B356-93258C473E43}" name="Year" totalsRowLabel="Total" dataDxfId="942" totalsRowDxfId="941">
      <calculatedColumnFormula>First_Year+'Q_Appendix B. Project Info'!B20</calculatedColumnFormula>
    </tableColumn>
    <tableColumn id="2" xr3:uid="{1EF9DAAB-7025-41E8-946A-48472D305266}" name="NOX" totalsRowFunction="sum" dataDxfId="940" totalsRowDxfId="939" dataCellStyle="Comma"/>
    <tableColumn id="3" xr3:uid="{8628EBA2-775C-4E5C-8645-1BA542F72EB1}" name="SOx" totalsRowFunction="sum" dataDxfId="938" totalsRowDxfId="937" dataCellStyle="Comma"/>
    <tableColumn id="4" xr3:uid="{7DD6578C-4F74-4437-A0C5-710FC6DF82EE}" name="PM2.5" totalsRowFunction="sum" dataDxfId="936" totalsRowDxfId="935" dataCellStyle="Comma"/>
    <tableColumn id="5" xr3:uid="{9B74F73D-8E84-42FD-8981-FAFFF67DFC40}" name="CO2" totalsRowFunction="sum" dataDxfId="934" totalsRowDxfId="933" dataCellStyle="Comma"/>
    <tableColumn id="6" xr3:uid="{73BAEBE9-89A3-405A-AA4A-4B393765DE80}" name="PM10" totalsRowFunction="sum" dataDxfId="932" totalsRowDxfId="931" dataCellStyle="Comma"/>
    <tableColumn id="7" xr3:uid="{E3994BC0-7B83-4380-9AC8-84CF594EAA14}" name="VOC" totalsRowFunction="sum" dataDxfId="930" totalsRowDxfId="929" dataCellStyle="Comma"/>
    <tableColumn id="8" xr3:uid="{BB386F66-3474-44B6-A6BA-3DD5744527C8}" name="Total" totalsRowFunction="sum" totalsRowDxfId="928" dataCellStyle="Calculation">
      <calculatedColumnFormula>SUM(Table2B.2_AQ_PA90[[#This Row],[NOX]:[VOC]])</calculatedColumnFormula>
    </tableColumn>
  </tableColumns>
  <tableStyleInfo name="TableStyleLight1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F3E41ECB-2448-43E2-8E53-FEB840131294}" name="Table2B.1_AQ_NB91" displayName="Table2B.1_AQ_NB91" ref="B16:I53" totalsRowCount="1" headerRowDxfId="927" dataDxfId="926" totalsRowDxfId="925">
  <autoFilter ref="B16:I52" xr:uid="{18D49A1D-2EA2-40AE-B22D-49908A7D6FB8}"/>
  <tableColumns count="8">
    <tableColumn id="1" xr3:uid="{8926E6C4-D966-4E18-83B2-549C9B302A74}" name="Year" totalsRowLabel="Total" dataDxfId="924" totalsRowDxfId="923">
      <calculatedColumnFormula>First_Year+'Q_Appendix B. Project Info'!B20</calculatedColumnFormula>
    </tableColumn>
    <tableColumn id="2" xr3:uid="{B90946D3-ACFA-4CDD-817B-4CF4D222FB37}" name="NOX" totalsRowFunction="sum" dataDxfId="922" totalsRowDxfId="921" dataCellStyle="Comma"/>
    <tableColumn id="3" xr3:uid="{71C44890-CF7C-4432-87A3-F548B0D46510}" name="SOx" totalsRowFunction="sum" dataDxfId="920" totalsRowDxfId="919" dataCellStyle="Comma"/>
    <tableColumn id="4" xr3:uid="{8B20FA7E-BC13-4AAA-BFE6-3DE0E92FFF9A}" name="PM2.5" totalsRowFunction="sum" dataDxfId="918" totalsRowDxfId="917" dataCellStyle="Comma"/>
    <tableColumn id="5" xr3:uid="{F9F25799-E3BA-4DFE-BDF5-385A3AEEB193}" name="CO2" totalsRowFunction="sum" dataDxfId="916" totalsRowDxfId="915" dataCellStyle="Comma"/>
    <tableColumn id="6" xr3:uid="{527F2776-A0D5-4140-8317-C654868B1F0C}" name="PM10" totalsRowFunction="sum" dataDxfId="914" totalsRowDxfId="913" dataCellStyle="Comma"/>
    <tableColumn id="7" xr3:uid="{4DF0AA08-736E-4491-BCA4-E7048C642A9E}" name="VOC" totalsRowFunction="sum" dataDxfId="912" totalsRowDxfId="911" dataCellStyle="Comma"/>
    <tableColumn id="8" xr3:uid="{1F6280B6-9FE8-4FA9-9E8F-05B5A1DFAF2D}" name="Total" totalsRowFunction="sum" dataDxfId="910" totalsRowDxfId="909" dataCellStyle="Calculation">
      <calculatedColumnFormula>SUM(Table2B.1_AQ_NB91[[#This Row],[NOX]:[VOC]])</calculatedColumnFormula>
    </tableColumn>
  </tableColumns>
  <tableStyleInfo name="TableStyleLight1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31FED6A7-D3CA-43ED-87C3-5930590EC345}" name="Table2B.3_AQ_Dif92" displayName="Table2B.3_AQ_Dif92" ref="B98:I135" totalsRowCount="1" headerRowDxfId="908" dataDxfId="907" totalsRowDxfId="906">
  <autoFilter ref="B98:I134" xr:uid="{72B7882F-5521-464A-B35C-A3A2643E2E21}"/>
  <tableColumns count="8">
    <tableColumn id="1" xr3:uid="{DF851118-0B1D-47E0-8B89-ED344C5E3586}" name="Year" totalsRowLabel="Total" dataDxfId="905" totalsRowDxfId="904">
      <calculatedColumnFormula>First_Year+'Q_Appendix B. Project Info'!B20</calculatedColumnFormula>
    </tableColumn>
    <tableColumn id="2" xr3:uid="{26945C89-36E3-44F3-BDB7-F29DF8348E95}" name="NOX" totalsRowFunction="sum" dataDxfId="903" totalsRowDxfId="902" dataCellStyle="Calculation">
      <calculatedColumnFormula>C17-C58</calculatedColumnFormula>
    </tableColumn>
    <tableColumn id="3" xr3:uid="{1DBFF7A1-AC8E-417E-A833-A7B8DD8CAFAC}" name="SOx" totalsRowFunction="sum" totalsRowDxfId="901" dataCellStyle="Calculation">
      <calculatedColumnFormula>D17-D58</calculatedColumnFormula>
    </tableColumn>
    <tableColumn id="4" xr3:uid="{83502C59-F972-4D02-9243-810FA51B1A78}" name="PM2.5" totalsRowFunction="sum" totalsRowDxfId="900" dataCellStyle="Calculation">
      <calculatedColumnFormula>E17-E58</calculatedColumnFormula>
    </tableColumn>
    <tableColumn id="5" xr3:uid="{D6291DD2-BE6A-4196-994E-A47B83A59188}" name="CO2" totalsRowFunction="sum" totalsRowDxfId="899" dataCellStyle="Calculation">
      <calculatedColumnFormula>F17-F58</calculatedColumnFormula>
    </tableColumn>
    <tableColumn id="6" xr3:uid="{91504AD3-C305-43A0-B339-44D75CCB6732}" name="PM10" totalsRowFunction="sum" totalsRowDxfId="898" dataCellStyle="Calculation">
      <calculatedColumnFormula>G17-G58</calculatedColumnFormula>
    </tableColumn>
    <tableColumn id="7" xr3:uid="{796685F2-D0A6-4455-BB3E-01EE2A7A14F2}" name="VOC" totalsRowFunction="sum" totalsRowDxfId="897" dataCellStyle="Calculation">
      <calculatedColumnFormula>H17-H58</calculatedColumnFormula>
    </tableColumn>
    <tableColumn id="8" xr3:uid="{9B275E7C-3063-4C72-B624-9D0DDDEF180B}" name="Total" totalsRowFunction="sum" totalsRowDxfId="896" dataCellStyle="Calculation">
      <calculatedColumnFormula>SUM(Table2B.3_AQ_Dif92[[#This Row],[NOX]:[VOC]])</calculatedColumnFormula>
    </tableColumn>
  </tableColumns>
  <tableStyleInfo name="TableStyleLight1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6A0DB23D-1F16-4051-BD87-CC35F283FE50}" name="Table2B.4_AQ_Dollars93" displayName="Table2B.4_AQ_Dollars93" ref="B139:I176" totalsRowCount="1" headerRowDxfId="895" dataDxfId="894" totalsRowDxfId="893">
  <autoFilter ref="B139:I175" xr:uid="{1B8DEB15-FC85-47CF-BEDE-A9A5C438C4DB}"/>
  <tableColumns count="8">
    <tableColumn id="1" xr3:uid="{4B465C7C-E830-4168-A9C4-08BAF08C7E2A}" name="Year" totalsRowLabel="Total" dataDxfId="892" totalsRowDxfId="891">
      <calculatedColumnFormula>First_Year+'Q_Appendix B. Project Info'!B20</calculatedColumnFormula>
    </tableColumn>
    <tableColumn id="2" xr3:uid="{008F64F0-5AD4-484B-84A9-95D66CE3339E}" name="NOX" totalsRowFunction="sum" dataDxfId="890" totalsRowDxfId="889" dataCellStyle="Currency" totalsRowCellStyle="Currency">
      <calculatedColumnFormula>IFERROR(IF(Table2B.4_AQ_Dollars93[[#This Row],[Year]]&gt;Closeout,(C99*INDEX(TableA6_Emissions121[#All],MATCH(Table2B.4_AQ_Dollars93[[#This Row],[Year]],TableA6_Emissions121[Year],0),MATCH(Table2B.4_AQ_Dollars93[[#Headers],[NOX]],TableA6_Emissions121[#Headers],0))),0),0)</calculatedColumnFormula>
    </tableColumn>
    <tableColumn id="3" xr3:uid="{A3CD80C9-78F0-44A1-A737-18CADB6C2232}" name="SOx" totalsRowFunction="sum" dataDxfId="888" totalsRowDxfId="887" dataCellStyle="Currency" totalsRowCellStyle="Currency">
      <calculatedColumnFormula>IFERROR(IF(Table2B.4_AQ_Dollars93[[#This Row],[Year]]&gt;Closeout,(D99*INDEX(TableA6_Emissions121[#All],MATCH(Table2B.4_AQ_Dollars93[[#This Row],[Year]],TableA6_Emissions121[Year],0),MATCH(Table2B.4_AQ_Dollars93[[#Headers],[SOx]],TableA6_Emissions121[#Headers],0))),0),0)</calculatedColumnFormula>
    </tableColumn>
    <tableColumn id="4" xr3:uid="{94E2AEEC-11C9-44E0-A73F-2668D5DB0E67}" name="PM2.5" totalsRowFunction="sum" dataDxfId="886" totalsRowDxfId="885" dataCellStyle="Currency" totalsRowCellStyle="Currency">
      <calculatedColumnFormula>IFERROR(IF(Table2B.4_AQ_Dollars93[[#This Row],[Year]]&gt;Closeout,(E99*INDEX(TableA6_Emissions121[#All],MATCH(Table2B.4_AQ_Dollars93[[#This Row],[Year]],TableA6_Emissions121[Year],0),MATCH(Table2B.4_AQ_Dollars93[[#Headers],[PM2.5]],TableA6_Emissions121[#Headers],0))),0),0)</calculatedColumnFormula>
    </tableColumn>
    <tableColumn id="5" xr3:uid="{2D36AA1D-B7BE-4E2E-8AAE-5F8E2BC97480}" name="CO2" totalsRowFunction="sum" dataDxfId="884" totalsRowDxfId="883" dataCellStyle="Currency" totalsRowCellStyle="Currency">
      <calculatedColumnFormula>IFERROR(IF(Table2B.4_AQ_Dollars93[[#This Row],[Year]]&gt;Closeout,F99*INDEX(TableA6_Emissions121[#All],MATCH(Table2B.4_AQ_Dollars93[[#This Row],[Year]],TableA6_Emissions121[Year],0),MATCH(Table2B.4_AQ_Dollars93[[#Headers],[CO2]],TableA6_Emissions121[#Headers],0)),0),0)</calculatedColumnFormula>
    </tableColumn>
    <tableColumn id="6" xr3:uid="{30F5ED89-B766-4322-8BE9-2CB887E29EFD}" name="PM10" totalsRowFunction="sum" dataDxfId="882" totalsRowDxfId="881" dataCellStyle="Currency" totalsRowCellStyle="Currency">
      <calculatedColumnFormula>IFERROR(G99*INDEX(TableA6_Emissions121[#All],MATCH(Table2B.4_AQ_Dollars93[[#This Row],[Year]],TableA6_Emissions121[Year],0),MATCH(Table2B.4_AQ_Dollars93[[#Headers],[PM10]],TableA6_Emissions121[#Headers],0)),0)</calculatedColumnFormula>
    </tableColumn>
    <tableColumn id="7" xr3:uid="{70F97AA7-F6E9-499C-88B8-1CFA8BD0D585}" name="VOC" totalsRowFunction="sum" dataDxfId="880" totalsRowDxfId="879" dataCellStyle="Currency" totalsRowCellStyle="Currency">
      <calculatedColumnFormula>IFERROR(H99*INDEX(TableA6_Emissions121[#All],MATCH(Table2B.4_AQ_Dollars93[[#This Row],[Year]],TableA6_Emissions121[Year],0),MATCH(Table2B.4_AQ_Dollars93[[#Headers],[VOC]],TableA6_Emissions121[#Headers],0)),0)</calculatedColumnFormula>
    </tableColumn>
    <tableColumn id="8" xr3:uid="{407F6626-CD3C-4C5E-BDCD-9B79B1AF622F}" name="Total" totalsRowFunction="sum" totalsRowDxfId="878" dataCellStyle="Currency" totalsRowCellStyle="Currency">
      <calculatedColumnFormula>SUM(Table2B.4_AQ_Dollars93[[#This Row],[NOX]:[VOC]])</calculatedColumnFormula>
    </tableColumn>
  </tableColumns>
  <tableStyleInfo name="TableStyleLight1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6897DCA-AE3A-4A9C-96AC-23AFB93E1B1B}" name="Table3.1_TTS_Sum_Open" displayName="Table3.1_TTS_Sum_Open" ref="B14:I16" headerRowDxfId="877" dataDxfId="876">
  <autoFilter ref="B14:I16" xr:uid="{06897DCA-AE3A-4A9C-96AC-23AFB93E1B1B}"/>
  <tableColumns count="8">
    <tableColumn id="1" xr3:uid="{95056CB6-7262-486C-AC5E-FA035CA58B9F}" name="Scenario" totalsRowLabel="Average" dataDxfId="875" totalsRowDxfId="874"/>
    <tableColumn id="2" xr3:uid="{8D6368B8-3608-4B20-BC81-C5B071613FCB}" name="Total Traffic in Network (Veh/Day)" dataDxfId="873" totalsRowDxfId="872" dataCellStyle="Comma"/>
    <tableColumn id="3" xr3:uid="{0230FFD9-39ED-4E79-B178-52C3AE48ECE5}" name="Vehicle Miles Traveled (VMT/Day)" dataDxfId="871" totalsRowDxfId="870" dataCellStyle="Comma"/>
    <tableColumn id="4" xr3:uid="{61154788-6B2E-46E0-BE6D-B859C9B550C7}" name="Vehicle Hours Traveled (VHT/Day)" dataDxfId="869" totalsRowDxfId="868" dataCellStyle="Comma"/>
    <tableColumn id="5" xr3:uid="{FEDA7276-DABE-4DC0-BA19-3BE523EF702E}" name="Average Speed (MPH)" dataDxfId="867" totalsRowDxfId="866" dataCellStyle="Comma"/>
    <tableColumn id="7" xr3:uid="{FD87AC61-C663-42C3-97A1-5FC6A3106324}" name="Average Delay (Hrs/Veh/Day)" dataDxfId="865" totalsRowDxfId="864" dataCellStyle="Comma"/>
    <tableColumn id="8" xr3:uid="{BC2B08FF-3F44-4BC2-9B6B-601C42ED49FD}" name="Travel Time Savings Benefit ($/Day)" totalsRowFunction="average" dataDxfId="863" totalsRowDxfId="862" dataCellStyle="Currency"/>
    <tableColumn id="6" xr3:uid="{494A987C-AE3A-4465-9586-8B60CD8D97E6}" name="Annual Benefit ($/Year)" dataDxfId="861" totalsRowDxfId="860" dataCellStyle="Comma">
      <calculatedColumnFormula>Table3.1_TTS_Sum_Open[[#This Row],[Travel Time Savings Benefit ($/Day)]]*365</calculatedColumnFormula>
    </tableColumn>
  </tableColumns>
  <tableStyleInfo name="TableStyleLight9"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E399932F-1254-4EA6-AA57-FA15B8846BAE}" name="Table3.3_TTS_Rates" displayName="Table3.3_TTS_Rates" ref="B26:I28" totalsRowShown="0" headerRowDxfId="859" dataDxfId="858" dataCellStyle="Comma">
  <autoFilter ref="B26:I28" xr:uid="{E399932F-1254-4EA6-AA57-FA15B8846BAE}"/>
  <tableColumns count="8">
    <tableColumn id="1" xr3:uid="{B1ED4469-22F4-4D2F-8CD9-BA88766702F7}" name="Scenario" dataDxfId="857"/>
    <tableColumn id="2" xr3:uid="{18C4C43A-1E96-47D6-9913-764C004BF4D6}" name="Total Traffic in Network (Veh/Day)" dataDxfId="856" dataCellStyle="Comma">
      <calculatedColumnFormula>(C21-C15)/30</calculatedColumnFormula>
    </tableColumn>
    <tableColumn id="3" xr3:uid="{E50F71BA-247D-4F0F-8AE6-F44D8D6D11C4}" name="Vehicle Miles Traveled (VMT/Day)" dataDxfId="855" dataCellStyle="Comma">
      <calculatedColumnFormula>(D21-D15)/30</calculatedColumnFormula>
    </tableColumn>
    <tableColumn id="4" xr3:uid="{DA3078A9-0015-4071-A126-FB699F0F4322}" name="Vehicle Hours Traveled (VHT/Day)" dataDxfId="854" dataCellStyle="Comma">
      <calculatedColumnFormula>(E21-E15)/30</calculatedColumnFormula>
    </tableColumn>
    <tableColumn id="5" xr3:uid="{60D41092-F51C-4470-A9B2-5C18E090F043}" name="Average Speed (MPH)" dataDxfId="853" dataCellStyle="Comma">
      <calculatedColumnFormula>(F21-F15)/30</calculatedColumnFormula>
    </tableColumn>
    <tableColumn id="6" xr3:uid="{C1BA5FC6-8504-4276-8D10-FE8B1F9408C1}" name="Average Delay (Hrs/Veh/Day)" dataDxfId="852" dataCellStyle="Comma">
      <calculatedColumnFormula>(G21-G15)/30</calculatedColumnFormula>
    </tableColumn>
    <tableColumn id="7" xr3:uid="{97D62E57-9EC5-4211-892F-2A752EF9A0EB}" name="Travel Time Savings Benefit ($/Day)" dataDxfId="851" dataCellStyle="Currency">
      <calculatedColumnFormula>(H21-H15)/30</calculatedColumnFormula>
    </tableColumn>
    <tableColumn id="8" xr3:uid="{BE92DECD-ADAA-4920-8279-F2D54EBB0567}" name="Annual Benefit ($/Year)" dataDxfId="850" dataCellStyle="Comma">
      <calculatedColumnFormula>Table3.3_TTS_Rates[[#This Row],[Travel Time Savings Benefit ($/Day)]]*365</calculatedColumnFormula>
    </tableColumn>
  </tableColumns>
  <tableStyleInfo name="TableStyleLight9"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45FBF7C7-A927-4188-8E35-2B07F67FB051}" name="Table3.2_TTS_Sum_Des" displayName="Table3.2_TTS_Sum_Des" ref="B20:I22" headerRowDxfId="849" dataDxfId="848">
  <autoFilter ref="B20:I22" xr:uid="{45FBF7C7-A927-4188-8E35-2B07F67FB051}"/>
  <tableColumns count="8">
    <tableColumn id="1" xr3:uid="{7000D20B-29DA-4738-BBFF-85204837F546}" name="Scenario" totalsRowLabel="Average" dataDxfId="847" totalsRowDxfId="846"/>
    <tableColumn id="2" xr3:uid="{7799F28B-E1C6-46B0-855A-DF566DB607A8}" name="Total Traffic in Network (Veh/Day)" dataDxfId="845" totalsRowDxfId="844" dataCellStyle="Comma"/>
    <tableColumn id="3" xr3:uid="{4C8EAA8E-F987-42D1-99F7-4896A66FBAA5}" name="Vehicle Miles Traveled (VMT/Day)" dataDxfId="843" totalsRowDxfId="842" dataCellStyle="Comma"/>
    <tableColumn id="4" xr3:uid="{C72A5951-1E31-4BE3-8038-595D8918A602}" name="Vehicle Hours Traveled (VHT/Day)" dataDxfId="841" totalsRowDxfId="840" dataCellStyle="Comma"/>
    <tableColumn id="5" xr3:uid="{0BCE7362-F59B-428B-9B43-739700A650DE}" name="Average Speed (MPH)" dataDxfId="839" totalsRowDxfId="838" dataCellStyle="Comma"/>
    <tableColumn id="7" xr3:uid="{3C04AE9F-2C91-49FE-A82E-1A9169ED7C24}" name="Average Delay (Hrs/Veh/Day)" dataDxfId="837" totalsRowDxfId="836" dataCellStyle="Comma"/>
    <tableColumn id="8" xr3:uid="{F484DD78-3DF2-4BB5-B2B7-567F153CA696}" name="Travel Time Savings Benefit ($/Day)" totalsRowFunction="average" dataDxfId="835" totalsRowDxfId="834" dataCellStyle="Currency"/>
    <tableColumn id="6" xr3:uid="{B6E6D3DF-E1CF-48C0-BBD0-26EC45677200}" name="Annual Benefit ($/Year)" dataDxfId="833" totalsRowDxfId="832" dataCellStyle="Comma">
      <calculatedColumnFormula>Table3.2_TTS_Sum_Des[[#This Row],[Travel Time Savings Benefit ($/Day)]]*365</calculatedColumnFormula>
    </tableColumn>
  </tableColumns>
  <tableStyleInfo name="TableStyleLight9"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342805B7-3E4C-4366-A65A-AFE47D81F5A5}" name="Table53" displayName="Table53" ref="B32:I35" totalsRowCount="1" headerRowDxfId="831">
  <autoFilter ref="B32:I34" xr:uid="{342805B7-3E4C-4366-A65A-AFE47D81F5A5}"/>
  <tableColumns count="8">
    <tableColumn id="1" xr3:uid="{33BB5EBE-171F-4827-8B63-452D3E0525D4}" name="Scenario" totalsRowLabel="Total" dataDxfId="830" totalsRowDxfId="829"/>
    <tableColumn id="2" xr3:uid="{9A2732F3-3234-4611-87FF-BCE5C23F01E5}" name="Total Traffic in Network _x000a_(Avg. Veh/Day)" totalsRowFunction="custom" totalsRowDxfId="828" dataCellStyle="Comma">
      <calculatedColumnFormula>Table3D.1_DailyTTS_NB[[#Totals],[Total Traffic in Network (Veh/Day)]]</calculatedColumnFormula>
      <totalsRowFormula>C34-C33</totalsRowFormula>
    </tableColumn>
    <tableColumn id="3" xr3:uid="{8744C1E8-3DAA-4617-A54B-958448367B60}" name="Vehicle Miles Traveled _x000a_(Avg. VMT/Day)" totalsRowFunction="custom" totalsRowDxfId="827" dataCellStyle="Comma">
      <totalsRowFormula>D34-D33</totalsRowFormula>
    </tableColumn>
    <tableColumn id="4" xr3:uid="{F8DDB739-2D07-406F-B86C-01EABBAE7D43}" name="Vehicle Hours Traveled _x000a_(Avg. VHT/Day)" totalsRowFunction="custom" dataDxfId="826" totalsRowDxfId="825" dataCellStyle="Comma">
      <totalsRowFormula>E34-E33</totalsRowFormula>
    </tableColumn>
    <tableColumn id="5" xr3:uid="{82239668-0A03-4666-BB6B-1147DC84C833}" name="Average Speed (MPH)" totalsRowFunction="custom" dataDxfId="824" totalsRowDxfId="823" dataCellStyle="Comma">
      <totalsRowFormula>F34-F33</totalsRowFormula>
    </tableColumn>
    <tableColumn id="6" xr3:uid="{942FE08C-529A-4AF2-8FB1-8F84E81CE4B7}" name="Total Delay_x000a_(Avg. Hours/Day)" totalsRowFunction="custom" totalsRowDxfId="822" dataCellStyle="Comma">
      <totalsRowFormula>G34-G33</totalsRowFormula>
    </tableColumn>
    <tableColumn id="7" xr3:uid="{3FE9105D-42BE-4AA6-9218-597ECBEE9FA8}" name="Travel Time Savings Benefit (Avg. $/Year)" totalsRowFunction="custom" totalsRowDxfId="821" totalsRowCellStyle="Currency">
      <totalsRowFormula>H34-H33</totalsRowFormula>
    </tableColumn>
    <tableColumn id="8" xr3:uid="{9966C156-F4C3-4B96-B631-0F8A1D65E1B3}" name="30-Year Total" totalsRowFunction="sum" dataDxfId="820" totalsRowDxfId="819">
      <calculatedColumnFormula>Table53[[#This Row],[Travel Time Savings Benefit (Avg. $/Year)]]*30</calculatedColumnFormula>
    </tableColumn>
  </tableColumns>
  <tableStyleInfo name="TableStyleLight14"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1B59B2E7-5521-4EE4-8731-9D9DEFD23321}" name="Table3B.1_22TTS" displayName="Table3B.1_22TTS" ref="B16:H32" totalsRowCount="1" headerRowDxfId="818" dataDxfId="817" totalsRowDxfId="816" dataCellStyle="Input">
  <autoFilter ref="B16:H31" xr:uid="{1B59B2E7-5521-4EE4-8731-9D9DEFD23321}"/>
  <tableColumns count="7">
    <tableColumn id="1" xr3:uid="{AB88AD3C-A577-4101-9D69-6DE871BB41C7}" name="Time" totalsRowLabel="Total" dataDxfId="815" totalsRowDxfId="814"/>
    <tableColumn id="2" xr3:uid="{B83AD045-BE05-4E2A-A30C-E25C76794099}" name="Total Vehicles in Network" totalsRowFunction="sum" dataDxfId="813" totalsRowDxfId="812" dataCellStyle="Input"/>
    <tableColumn id="3" xr3:uid="{E31F5DF8-8014-42A8-85CC-522A21F20AE8}" name="VMT: Total Path Distance (mi)" totalsRowFunction="sum" dataDxfId="811" totalsRowDxfId="810" dataCellStyle="Input"/>
    <tableColumn id="4" xr3:uid="{920ABCA1-821E-413E-9E78-29B00813DC18}" name="VHT: Total Time in Network (hr)" totalsRowFunction="sum" dataDxfId="809" totalsRowDxfId="808" dataCellStyle="Input"/>
    <tableColumn id="5" xr3:uid="{96BEBAE4-75EE-4107-A658-F9AE72B97DC0}" name="Average Speed (mph)" totalsRowFunction="average" dataDxfId="807" totalsRowDxfId="806" dataCellStyle="Input"/>
    <tableColumn id="6" xr3:uid="{3AC99727-4EAA-4EA7-A451-1AA4A1B086E6}" name="Total Delay (hr)" totalsRowFunction="sum" dataDxfId="805" totalsRowDxfId="804" dataCellStyle="Input"/>
    <tableColumn id="7" xr3:uid="{E5090C31-50DD-4A13-BB56-372D868B59E0}" name="Average Delay (hr/veh)" totalsRowFunction="average" dataDxfId="803" totalsRowDxfId="802" dataCellStyle="Input"/>
  </tableColumns>
  <tableStyleInfo name="TableStyleLight1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A41960AA-9A63-4180-8358-446E2497D0EF}" name="Table3B.2_22Delay" displayName="Table3B.2_22Delay" ref="B36:H52" totalsRowCount="1" headerRowDxfId="801" dataDxfId="800">
  <autoFilter ref="B36:H51" xr:uid="{A41960AA-9A63-4180-8358-446E2497D0EF}"/>
  <tableColumns count="7">
    <tableColumn id="1" xr3:uid="{D1423D2B-5041-4D18-94E7-DD3F11B396C7}" name="Time" totalsRowLabel="Total" dataDxfId="799" totalsRowDxfId="798"/>
    <tableColumn id="2" xr3:uid="{5EBF0EF7-AC74-405C-AA53-EF4030A56E0A}" name="Car Traffic Share" dataDxfId="797" totalsRowDxfId="796" dataCellStyle="Input"/>
    <tableColumn id="3" xr3:uid="{9D0D82E6-445D-47A4-87E4-9D48642A45DE}" name="Truck Traffic Share" dataDxfId="795" totalsRowDxfId="794" dataCellStyle="Input"/>
    <tableColumn id="4" xr3:uid="{FB2F2882-BAC6-4453-BE78-2B7960DEA80A}" name="Car Traffic" totalsRowFunction="sum" dataDxfId="793" totalsRowDxfId="792" dataCellStyle="Comma">
      <calculatedColumnFormula>C17*Table3B.2_22Delay[[#This Row],[Car Traffic Share]]</calculatedColumnFormula>
    </tableColumn>
    <tableColumn id="5" xr3:uid="{E9E65829-68D0-4F6B-88AB-E6680BAAC2C9}" name="Car Delay _x000a_(hrs)" totalsRowFunction="sum" dataDxfId="791" totalsRowDxfId="790" dataCellStyle="Calculation">
      <calculatedColumnFormula>H17*Table3B.2_22Delay[[#This Row],[Car Traffic]]</calculatedColumnFormula>
    </tableColumn>
    <tableColumn id="6" xr3:uid="{503F4C88-DD09-4C3C-9CFE-0CCA9E9E66C7}" name="Truck Traffic" totalsRowFunction="sum" dataDxfId="789" totalsRowDxfId="788" dataCellStyle="Calculation">
      <calculatedColumnFormula>C17*Table3B.2_22Delay[[#This Row],[Truck Traffic Share]]</calculatedColumnFormula>
    </tableColumn>
    <tableColumn id="7" xr3:uid="{C57EACF9-8DF7-491C-904A-ECED7A61C766}" name="Truck Delay (hrs)" totalsRowFunction="sum" dataDxfId="787" totalsRowDxfId="786" dataCellStyle="Calculation">
      <calculatedColumnFormula>H17*Table3B.2_22Delay[[#This Row],[Truck Traffic]]</calculatedColumnFormula>
    </tableColumn>
  </tableColumns>
  <tableStyleInfo name="TableStyleLight1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F3553AA8-B0B6-4436-B070-1926966DD78F}" name="Table3B.3_27TTS_NB" displayName="Table3B.3_27TTS_NB" ref="B56:H72" totalsRowCount="1" headerRowDxfId="785" dataDxfId="784" dataCellStyle="Input">
  <autoFilter ref="B56:H71" xr:uid="{F3553AA8-B0B6-4436-B070-1926966DD78F}"/>
  <tableColumns count="7">
    <tableColumn id="1" xr3:uid="{4038848D-FA79-4DEA-9348-53772DBDAD9A}" name="Time" totalsRowLabel="Total" dataDxfId="783" totalsRowDxfId="782"/>
    <tableColumn id="2" xr3:uid="{8AE6D803-CA9A-4847-AF20-7E8156AF48D1}" name="Total Vehicles in Network" totalsRowFunction="sum" dataDxfId="781" totalsRowDxfId="780" dataCellStyle="Input"/>
    <tableColumn id="3" xr3:uid="{0D23182E-F7FE-481F-B05F-85E756D09F4E}" name="VMT: Total Path Distance (mi)" totalsRowFunction="sum" dataDxfId="779" totalsRowDxfId="778" dataCellStyle="Input"/>
    <tableColumn id="4" xr3:uid="{8D21A9D4-2435-434D-A124-BE53AB4DEAB5}" name="VHT: Total Time in Network (hr)" totalsRowFunction="sum" dataDxfId="777" totalsRowDxfId="776" dataCellStyle="Input"/>
    <tableColumn id="5" xr3:uid="{EF763F62-FFC1-41C4-B72D-6EE730A25F55}" name="Average Speed (mph)" totalsRowFunction="average" dataDxfId="775" totalsRowDxfId="774" dataCellStyle="Input"/>
    <tableColumn id="6" xr3:uid="{CC966794-4EBC-4F2F-AFFB-6B4E484931E3}" name="Total Delay (hr)" totalsRowFunction="sum" dataDxfId="773" totalsRowDxfId="772" dataCellStyle="Input"/>
    <tableColumn id="7" xr3:uid="{2AA47ABC-9706-4AF1-8716-A77AE33590AA}" name="Average Delay (hr/veh)" totalsRowFunction="average" dataDxfId="771" totalsRowDxfId="770" dataCellStyle="Input"/>
  </tableColumns>
  <tableStyleInfo name="TableStyleLight1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C700F461-FD7E-4502-B1AD-801EF88ED65C}" name="Table3B.5_27TTS_PA" displayName="Table3B.5_27TTS_PA" ref="B96:H112" totalsRowCount="1" headerRowDxfId="769" dataDxfId="768" dataCellStyle="Input">
  <autoFilter ref="B96:H111" xr:uid="{C700F461-FD7E-4502-B1AD-801EF88ED65C}"/>
  <tableColumns count="7">
    <tableColumn id="1" xr3:uid="{D87AD3D8-FD86-4157-B784-E62ADC899C24}" name="Time" totalsRowLabel="Total" dataDxfId="767" totalsRowDxfId="766"/>
    <tableColumn id="2" xr3:uid="{395B25F7-F8CE-4DC8-86B2-0FA3B9FA8C21}" name="Total Vehicles Traveling Within the Network" totalsRowFunction="sum" dataDxfId="765" totalsRowDxfId="764" dataCellStyle="Input"/>
    <tableColumn id="3" xr3:uid="{DEBAD64C-1ADA-4726-920C-B3EA7E9598DF}" name="VMT: Total Path Distance (mi)" totalsRowFunction="sum" dataDxfId="763" totalsRowDxfId="762" dataCellStyle="Input"/>
    <tableColumn id="4" xr3:uid="{55D7B833-B6EA-4CD5-9989-5EA77D966BB5}" name="VHT: Total Time Within the Network (hr)" totalsRowFunction="sum" dataDxfId="761" totalsRowDxfId="760" dataCellStyle="Input"/>
    <tableColumn id="5" xr3:uid="{56434A54-D5FD-43DB-8121-8906D3AD4F7C}" name="Average Speed (mph)" totalsRowFunction="average" dataDxfId="759" totalsRowDxfId="758" dataCellStyle="Input"/>
    <tableColumn id="6" xr3:uid="{D597E336-A159-489A-925C-FFD284A5E16C}" name="Total Delay: All Vehicles (hr)" totalsRowFunction="sum" dataDxfId="757" totalsRowDxfId="756" dataCellStyle="Input"/>
    <tableColumn id="7" xr3:uid="{CC60B383-3E95-4DDC-B616-D5B7B5BDB687}" name="Average Delay: Per Vehicle (hr/veh)" totalsRowFunction="average" dataDxfId="755" totalsRowDxfId="754" dataCellStyle="Input"/>
  </tableColumns>
  <tableStyleInfo name="TableStyleLight1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1402CC7F-51AE-4B67-BF8E-E3A20CD43F22}" name="Table3B.4_27Delay_NB" displayName="Table3B.4_27Delay_NB" ref="B76:H92" totalsRowCount="1" headerRowDxfId="753" dataDxfId="752">
  <autoFilter ref="B76:H91" xr:uid="{1402CC7F-51AE-4B67-BF8E-E3A20CD43F22}"/>
  <tableColumns count="7">
    <tableColumn id="1" xr3:uid="{6DA3FB3E-FACE-4CFC-8242-72A73FED6020}" name="Time" totalsRowLabel="Total" dataDxfId="751" totalsRowDxfId="750"/>
    <tableColumn id="2" xr3:uid="{335058CF-579B-4A1F-992C-12E2B83274C4}" name="Car Traffic Share" dataDxfId="749" totalsRowDxfId="748" dataCellStyle="Input"/>
    <tableColumn id="3" xr3:uid="{5B706D5A-DD80-411B-A0F5-AE51096C8FD5}" name="Truck Traffic Share" dataDxfId="747" totalsRowDxfId="746" dataCellStyle="Input"/>
    <tableColumn id="4" xr3:uid="{62843F40-2EEF-45D2-A1E6-25137347BA73}" name="Car Traffic" totalsRowFunction="sum" dataDxfId="745" totalsRowDxfId="744" dataCellStyle="Comma">
      <calculatedColumnFormula>C57*Table3B.4_27Delay_NB[[#This Row],[Car Traffic Share]]</calculatedColumnFormula>
    </tableColumn>
    <tableColumn id="5" xr3:uid="{B6A71DA0-7A31-45BE-80F4-D8E2A71322C0}" name="Car Delay _x000a_(hrs)" totalsRowFunction="sum" dataDxfId="743" totalsRowDxfId="742" dataCellStyle="Calculation">
      <calculatedColumnFormula>H57*Table3B.4_27Delay_NB[[#This Row],[Car Traffic]]</calculatedColumnFormula>
    </tableColumn>
    <tableColumn id="6" xr3:uid="{86E48F82-B195-49B5-93BA-5D368CB5FC76}" name="Truck Traffic" totalsRowFunction="sum" dataDxfId="741" totalsRowDxfId="740" dataCellStyle="Calculation">
      <calculatedColumnFormula>C57*Table3B.4_27Delay_NB[[#This Row],[Truck Traffic Share]]</calculatedColumnFormula>
    </tableColumn>
    <tableColumn id="7" xr3:uid="{8C610DD7-29BB-4696-A118-2E7FF4066B7B}" name="Truck Delay (hrs)" totalsRowFunction="sum" dataDxfId="739" totalsRowDxfId="738" dataCellStyle="Calculation">
      <calculatedColumnFormula>H57*Table3B.4_27Delay_NB[[#This Row],[Truck Traffic]]</calculatedColumnFormula>
    </tableColumn>
  </tableColumns>
  <tableStyleInfo name="TableStyleLight1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81A461C4-51BB-400A-B285-CD5C0B2D9918}" name="Table3B.6_27Delay_PA" displayName="Table3B.6_27Delay_PA" ref="B116:H132" totalsRowCount="1" headerRowDxfId="737" dataDxfId="736" totalsRowDxfId="735">
  <autoFilter ref="B116:H131" xr:uid="{81A461C4-51BB-400A-B285-CD5C0B2D9918}"/>
  <tableColumns count="7">
    <tableColumn id="1" xr3:uid="{AB18297E-4253-4482-BBCF-AAD2684BAE2F}" name="Time" totalsRowLabel="Total" dataDxfId="734" totalsRowDxfId="733"/>
    <tableColumn id="2" xr3:uid="{801363EC-3291-4111-B7A6-E51E324E2378}" name="Car Traffic Share" dataDxfId="732" totalsRowDxfId="731" dataCellStyle="Input"/>
    <tableColumn id="3" xr3:uid="{919AF78D-8E3C-4FD7-B7FD-AFA0695D62D1}" name="Truck Traffic Share" dataDxfId="730" totalsRowDxfId="729" dataCellStyle="Input"/>
    <tableColumn id="4" xr3:uid="{522AC37A-3FD2-4F1E-B021-DC6D3762F917}" name="Car Traffic" totalsRowFunction="sum" dataDxfId="728" totalsRowDxfId="727" dataCellStyle="Comma">
      <calculatedColumnFormula>C97*Table3B.6_27Delay_PA[[#This Row],[Car Traffic Share]]</calculatedColumnFormula>
    </tableColumn>
    <tableColumn id="5" xr3:uid="{58CD6187-F96F-465B-A848-295FB74D8EE1}" name="Car Delay _x000a_(hrs)" totalsRowFunction="sum" dataDxfId="726" totalsRowDxfId="725" dataCellStyle="Calculation">
      <calculatedColumnFormula>H97*Table3B.6_27Delay_PA[[#This Row],[Car Traffic]]</calculatedColumnFormula>
    </tableColumn>
    <tableColumn id="6" xr3:uid="{2B87ADC0-1D99-4C92-9E0F-17088AB03CB5}" name="Truck Traffic" totalsRowFunction="sum" dataDxfId="724" totalsRowDxfId="723" dataCellStyle="Calculation">
      <calculatedColumnFormula>C97*Table3B.6_27Delay_PA[[#This Row],[Truck Traffic Share]]</calculatedColumnFormula>
    </tableColumn>
    <tableColumn id="7" xr3:uid="{DA146AFC-4B99-474F-BE29-7ECB1D363324}" name="Truck Delay (hrs)" totalsRowFunction="sum" dataDxfId="722" totalsRowDxfId="721" dataCellStyle="Calculation">
      <calculatedColumnFormula>H97*Table3B.6_27Delay_PA[[#This Row],[Truck Traffic]]</calculatedColumnFormula>
    </tableColumn>
  </tableColumns>
  <tableStyleInfo name="TableStyleLight1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8F0E8748-4A9B-4AF4-B254-F63994A79242}" name="Table3B.7_27Money" displayName="Table3B.7_27Money" ref="B136:H152" totalsRowCount="1" headerRowDxfId="720" dataDxfId="719">
  <autoFilter ref="B136:H151" xr:uid="{8F0E8748-4A9B-4AF4-B254-F63994A79242}"/>
  <tableColumns count="7">
    <tableColumn id="1" xr3:uid="{B4684DE1-E226-4A64-9E75-EA7042CD5149}" name="Time" totalsRowLabel="Total" dataDxfId="718" totalsRowDxfId="717"/>
    <tableColumn id="2" xr3:uid="{1D8B34ED-913D-4EBE-BA7D-0EC6D5475EF9}" name="Car Delay Savings (hrs)" dataDxfId="716" totalsRowDxfId="715" dataCellStyle="Comma">
      <calculatedColumnFormula>F77-F117</calculatedColumnFormula>
    </tableColumn>
    <tableColumn id="3" xr3:uid="{29701312-1FF3-4831-B68E-F415011C3784}" name="Truck Delay Savings (hrs)" dataDxfId="714" totalsRowDxfId="713" dataCellStyle="Comma">
      <calculatedColumnFormula>H77-H117</calculatedColumnFormula>
    </tableColumn>
    <tableColumn id="4" xr3:uid="{D9E83AA2-F7E4-4087-AC06-1391EBA66ABD}" name="Car Savings Benefits (Daily)" totalsRowFunction="sum" totalsRowDxfId="712" dataCellStyle="Currency" totalsRowCellStyle="Currency">
      <calculatedColumnFormula>Table3B.7_27Money[[#This Row],[Car Delay Savings (hrs)]]*All_Purpose_Travel*Passenger_Vehicles_Occupancy</calculatedColumnFormula>
    </tableColumn>
    <tableColumn id="5" xr3:uid="{BFD86185-170D-4FFC-B03B-F4B693ED6CED}" name="Truck Savings Benefits (Daily)" totalsRowFunction="sum" totalsRowDxfId="711" dataCellStyle="Currency" totalsRowCellStyle="Currency">
      <calculatedColumnFormula>Table3B.7_27Money[[#This Row],[Truck Delay Savings (hrs)]]*Truck_Travel</calculatedColumnFormula>
    </tableColumn>
    <tableColumn id="6" xr3:uid="{9DAE6B93-F39B-40DE-ADCF-5FE0383D61E6}" name="Total Benefits, Low (270 Days)" totalsRowFunction="sum" totalsRowDxfId="710" dataCellStyle="Currency" totalsRowCellStyle="Currency">
      <calculatedColumnFormula>(Table3B.7_27Money[[#This Row],[Truck Savings Benefits (Daily)]]+Table3B.7_27Money[[#This Row],[Car Savings Benefits (Daily)]])*270</calculatedColumnFormula>
    </tableColumn>
    <tableColumn id="7" xr3:uid="{A53C4425-3544-4F2C-803B-AC9A1F865D8D}" name="Total Benefits, High (365 Days)" totalsRowFunction="sum" totalsRowDxfId="709" dataCellStyle="Currency" totalsRowCellStyle="Currency">
      <calculatedColumnFormula>(Table3B.7_27Money[[#This Row],[Car Savings Benefits (Daily)]]+Table3B.7_27Money[[#This Row],[Truck Savings Benefits (Daily)]])*365</calculatedColumnFormula>
    </tableColumn>
  </tableColumns>
  <tableStyleInfo name="TableStyleLight1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61A2B04D-5751-4900-AA1A-A57EB535EABB}" name="Table3C.1_57TTS_NB" displayName="Table3C.1_57TTS_NB" ref="B10:H26" totalsRowCount="1" headerRowDxfId="708" dataDxfId="707" dataCellStyle="Input">
  <autoFilter ref="B10:H25" xr:uid="{F3553AA8-B0B6-4436-B070-1926966DD78F}"/>
  <tableColumns count="7">
    <tableColumn id="1" xr3:uid="{788A6019-BEFF-40B3-AA5A-0BAB64DA732A}" name="Time" totalsRowLabel="Total" dataDxfId="706" totalsRowDxfId="705"/>
    <tableColumn id="2" xr3:uid="{A9F8E65F-34F1-4A5A-BBB7-534ADFF0A926}" name="Total Vehicles in Network" totalsRowFunction="sum" dataDxfId="704" totalsRowDxfId="703" dataCellStyle="Input"/>
    <tableColumn id="3" xr3:uid="{0F8FA11A-725D-4173-A0DC-05620823AA82}" name="VMT: Total Path Distance (mi)" totalsRowFunction="sum" dataDxfId="702" totalsRowDxfId="701" dataCellStyle="Input"/>
    <tableColumn id="4" xr3:uid="{C972BC8B-5D58-4F22-9CAB-0B688BEACE1E}" name="VHT: Total Time in Network (hr)" totalsRowFunction="sum" dataDxfId="700" totalsRowDxfId="699" dataCellStyle="Input"/>
    <tableColumn id="5" xr3:uid="{5E8059B3-C33C-4D49-B953-0BC75B96ACBA}" name="Average Speed (mph)" totalsRowFunction="average" dataDxfId="698" totalsRowDxfId="697" dataCellStyle="Input"/>
    <tableColumn id="6" xr3:uid="{AB298FF2-E3F5-45A7-B24E-EBA95F071697}" name="Total Delay (hr)" totalsRowFunction="sum" dataDxfId="696" totalsRowDxfId="695" dataCellStyle="Input"/>
    <tableColumn id="7" xr3:uid="{CD9F7AB6-40EC-4E91-9FF5-16357DD96C70}" name="Average Delay (hr/veh)" totalsRowFunction="average" dataDxfId="694" totalsRowDxfId="693" dataCellStyle="Input"/>
  </tableColumns>
  <tableStyleInfo name="TableStyleLight11"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E1ADE0A5-52D6-4152-AB85-5F88B4A1A92C}" name="Table3C.3_57TTS_PA" displayName="Table3C.3_57TTS_PA" ref="B50:H66" totalsRowCount="1" headerRowDxfId="692" dataDxfId="691" dataCellStyle="Input">
  <autoFilter ref="B50:H65" xr:uid="{C700F461-FD7E-4502-B1AD-801EF88ED65C}"/>
  <tableColumns count="7">
    <tableColumn id="1" xr3:uid="{DE3C92BE-B80C-4350-95C7-EC58BFBDD083}" name="Time" totalsRowLabel="Total" dataDxfId="690" totalsRowDxfId="689"/>
    <tableColumn id="2" xr3:uid="{AA40C3E6-C107-4F10-9688-73A2E9EE7F5F}" name="Total Vehicles Traveling Within the Network" totalsRowFunction="sum" dataDxfId="688" totalsRowDxfId="687" dataCellStyle="Input"/>
    <tableColumn id="3" xr3:uid="{A46C641B-FBE0-446E-8FDA-886E26CC3C65}" name="VMT: Total Path Distance (mi)" totalsRowFunction="sum" dataDxfId="686" totalsRowDxfId="685" dataCellStyle="Input"/>
    <tableColumn id="4" xr3:uid="{A2C5D16E-9671-4A62-92EF-52DB28B1D783}" name="VHT: Total Time Within the Network (hr)" totalsRowFunction="sum" dataDxfId="684" totalsRowDxfId="683" dataCellStyle="Input"/>
    <tableColumn id="5" xr3:uid="{BAAE98F1-6C62-4BBD-8204-01654905DCDE}" name="Average Speed (mph)" totalsRowFunction="average" dataDxfId="682" totalsRowDxfId="681" dataCellStyle="Input"/>
    <tableColumn id="6" xr3:uid="{F25AF35E-9983-4486-8DC9-F3154551CAC9}" name="Total Delay: All Vehicles (hr)" totalsRowFunction="sum" dataDxfId="680" totalsRowDxfId="679" dataCellStyle="Input"/>
    <tableColumn id="7" xr3:uid="{FEC03534-B569-4BF5-BBCE-1CDC5C2C812C}" name="Average Delay: Per Vehicle (hr/veh)" totalsRowFunction="average" dataDxfId="678" totalsRowDxfId="677" dataCellStyle="Input"/>
  </tableColumns>
  <tableStyleInfo name="TableStyleLight11"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EA4C977-89BB-4FF3-89BD-FE483BD0B8B9}" name="Table3C.2_57_Delay_NB" displayName="Table3C.2_57_Delay_NB" ref="B30:H46" totalsRowCount="1" headerRowDxfId="676" dataDxfId="675">
  <autoFilter ref="B30:H45" xr:uid="{1402CC7F-51AE-4B67-BF8E-E3A20CD43F22}"/>
  <tableColumns count="7">
    <tableColumn id="1" xr3:uid="{3E030770-4413-4548-8147-AC5C2D07BFF6}" name="Time" totalsRowLabel="Total" dataDxfId="674" totalsRowDxfId="673"/>
    <tableColumn id="2" xr3:uid="{B6F3FF50-4A78-40DD-8BEB-F0936850C61C}" name="Car Traffic Share" dataDxfId="672" totalsRowDxfId="671" dataCellStyle="Input"/>
    <tableColumn id="3" xr3:uid="{48054B3F-BC0F-4DE6-BCB9-3A5482993ED2}" name="Truck Traffic Share" dataDxfId="670" totalsRowDxfId="669" dataCellStyle="Input"/>
    <tableColumn id="4" xr3:uid="{1A13CB20-226D-4DC9-A29D-D3A712CBB1E2}" name="Car Traffic" totalsRowFunction="sum" dataDxfId="668" totalsRowDxfId="667" dataCellStyle="Comma">
      <calculatedColumnFormula>C11*Table3C.2_57_Delay_NB[[#This Row],[Car Traffic Share]]</calculatedColumnFormula>
    </tableColumn>
    <tableColumn id="5" xr3:uid="{EAD9B563-AE66-4A1E-8746-33B8FA943F58}" name="Car Delay _x000a_(hrs)" totalsRowFunction="sum" totalsRowDxfId="666" dataCellStyle="Comma">
      <calculatedColumnFormula>H11*Table3C.2_57_Delay_NB[[#This Row],[Car Traffic]]</calculatedColumnFormula>
    </tableColumn>
    <tableColumn id="6" xr3:uid="{EA0FCC12-E971-4021-93FE-546AF2477D07}" name="Truck Traffic" totalsRowFunction="sum" totalsRowDxfId="665" dataCellStyle="Comma">
      <calculatedColumnFormula>C11*Table3C.2_57_Delay_NB[[#This Row],[Truck Traffic Share]]</calculatedColumnFormula>
    </tableColumn>
    <tableColumn id="7" xr3:uid="{63BCEF1B-133F-48AC-92D0-37E1EBF928D6}" name="Truck Delay (hrs)" totalsRowFunction="sum" totalsRowDxfId="664" dataCellStyle="Comma">
      <calculatedColumnFormula>H11*Table3C.2_57_Delay_NB[[#This Row],[Truck Traffic]]</calculatedColumnFormula>
    </tableColumn>
  </tableColumns>
  <tableStyleInfo name="TableStyleLight11"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5D2199CA-8A62-49E8-8D13-1BFBAD539B76}" name="Table3C.4_57Delay_PA" displayName="Table3C.4_57Delay_PA" ref="B70:H86" totalsRowCount="1" headerRowDxfId="663" dataDxfId="662">
  <autoFilter ref="B70:H85" xr:uid="{81A461C4-51BB-400A-B285-CD5C0B2D9918}"/>
  <tableColumns count="7">
    <tableColumn id="1" xr3:uid="{95B5A75D-F671-4EC7-A68C-FF636E89A77A}" name="Time" totalsRowLabel="Total" dataDxfId="661" totalsRowDxfId="660"/>
    <tableColumn id="2" xr3:uid="{76BE763C-B167-489D-BB95-5CE6B1D4A1E6}" name="Car Traffic Share" dataDxfId="659" totalsRowDxfId="658" dataCellStyle="Input"/>
    <tableColumn id="3" xr3:uid="{5D371DDB-9406-4DDB-A938-71C4C0EA3BF6}" name="Truck Traffic Share" dataDxfId="657" totalsRowDxfId="656" dataCellStyle="Input"/>
    <tableColumn id="4" xr3:uid="{275B5F67-BAD3-4257-8BAB-CB31C9F375A5}" name="Car Traffic" totalsRowFunction="sum" dataDxfId="655" totalsRowDxfId="654" dataCellStyle="Comma">
      <calculatedColumnFormula>C51*Table3C.4_57Delay_PA[[#This Row],[Car Traffic Share]]</calculatedColumnFormula>
    </tableColumn>
    <tableColumn id="5" xr3:uid="{AD29C83B-E64E-4FBC-8DD4-F37ACAFB7118}" name="Car Delay _x000a_(hrs)" totalsRowFunction="sum" totalsRowDxfId="653" dataCellStyle="Comma">
      <calculatedColumnFormula>H51*Table3C.4_57Delay_PA[[#This Row],[Car Traffic]]</calculatedColumnFormula>
    </tableColumn>
    <tableColumn id="6" xr3:uid="{4996CBDC-3694-447A-88AB-256666E1F7D9}" name="Truck Traffic" totalsRowFunction="sum" totalsRowDxfId="652" dataCellStyle="Comma">
      <calculatedColumnFormula>C51*Table3C.4_57Delay_PA[[#This Row],[Truck Traffic Share]]</calculatedColumnFormula>
    </tableColumn>
    <tableColumn id="7" xr3:uid="{50B964B0-8B25-40FE-8956-DE02C69BFD10}" name="Truck Delay (hrs)" totalsRowFunction="sum" totalsRowDxfId="651" dataCellStyle="Comma">
      <calculatedColumnFormula>H51*Table3C.4_57Delay_PA[[#This Row],[Truck Traffic]]</calculatedColumnFormula>
    </tableColumn>
  </tableColumns>
  <tableStyleInfo name="TableStyleLight11"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3F154337-696F-452A-8B9D-492E94A38F85}" name="Table3C.7_57TTSMoney" displayName="Table3C.7_57TTSMoney" ref="B90:H106" totalsRowCount="1" headerRowDxfId="650" dataDxfId="649">
  <autoFilter ref="B90:H105" xr:uid="{8F0E8748-4A9B-4AF4-B254-F63994A79242}"/>
  <tableColumns count="7">
    <tableColumn id="1" xr3:uid="{5909993E-74D5-4220-82D1-60F834709F32}" name="Time" totalsRowLabel="Total" dataDxfId="648" totalsRowDxfId="647"/>
    <tableColumn id="2" xr3:uid="{A6BCD730-6EF3-4B74-99C5-0D6FD67FE4D7}" name="Car Delay Savings (hrs)" totalsRowFunction="sum" dataDxfId="646" totalsRowDxfId="645" dataCellStyle="Comma">
      <calculatedColumnFormula>F31-F71</calculatedColumnFormula>
    </tableColumn>
    <tableColumn id="3" xr3:uid="{884D6E6A-6534-446F-90EF-2B5D7CD91D1D}" name="Truck Delay Savings (hrs)" totalsRowFunction="sum" dataDxfId="644" totalsRowDxfId="643" dataCellStyle="Comma">
      <calculatedColumnFormula>H31-H71</calculatedColumnFormula>
    </tableColumn>
    <tableColumn id="4" xr3:uid="{25BE35ED-DD69-4C59-BA5A-AFF859E29DB9}" name="Car Savings Benefits (Daily)" totalsRowFunction="sum" totalsRowDxfId="642" dataCellStyle="Currency">
      <calculatedColumnFormula>Table3C.7_57TTSMoney[[#This Row],[Car Delay Savings (hrs)]]*All_Purpose_Travel*Passenger_Vehicles_Occupancy</calculatedColumnFormula>
    </tableColumn>
    <tableColumn id="5" xr3:uid="{F2CDF506-1B71-47D0-89CB-3BC4705C8F49}" name="Truck Savings Benefits (Daily)" totalsRowFunction="sum" totalsRowDxfId="641" dataCellStyle="Currency">
      <calculatedColumnFormula>Table3C.7_57TTSMoney[[#This Row],[Truck Delay Savings (hrs)]]*Truck_Travel</calculatedColumnFormula>
    </tableColumn>
    <tableColumn id="6" xr3:uid="{E88248E0-887C-44EE-9BB3-880884FAD965}" name="Total Benefits, Low (270 Days)" totalsRowFunction="sum" totalsRowDxfId="640" dataCellStyle="Currency">
      <calculatedColumnFormula>(Table3C.7_57TTSMoney[[#This Row],[Truck Savings Benefits (Daily)]]+Table3C.7_57TTSMoney[[#This Row],[Car Savings Benefits (Daily)]])*270</calculatedColumnFormula>
    </tableColumn>
    <tableColumn id="7" xr3:uid="{636B463E-23B8-483F-8D43-D0CA87E40CDD}" name="Total Benefits, High (365 Days)" totalsRowFunction="sum" totalsRowDxfId="639" dataCellStyle="Currency">
      <calculatedColumnFormula>(Table3C.7_57TTSMoney[[#This Row],[Car Savings Benefits (Daily)]]+Table3C.7_57TTSMoney[[#This Row],[Truck Savings Benefits (Daily)]])*365</calculatedColumnFormula>
    </tableColumn>
  </tableColumns>
  <tableStyleInfo name="TableStyleLight11"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29E8CF-BB59-4C91-B952-3566A0C51A71}" name="Table3D.1_DailyTTS_NB" displayName="Table3D.1_DailyTTS_NB" ref="B9:H46" totalsRowCount="1" headerRowDxfId="638" dataDxfId="637">
  <autoFilter ref="B9:H45" xr:uid="{0029E8CF-BB59-4C91-B952-3566A0C51A71}"/>
  <tableColumns count="7">
    <tableColumn id="1" xr3:uid="{8AF095A6-7B63-43C1-993E-73A36B2186AB}" name="Year" totalsRowLabel="Average" dataDxfId="636" totalsRowDxfId="635">
      <calculatedColumnFormula>First_Year+'Appendix B. Project Information'!B20</calculatedColumnFormula>
    </tableColumn>
    <tableColumn id="2" xr3:uid="{C0FE3A4A-FDA9-4D79-BC9E-DC43F4B4CACD}" name="Total Traffic in Network (Veh/Day)" totalsRowFunction="average" dataDxfId="634" totalsRowDxfId="633" dataCellStyle="Comma">
      <calculatedColumnFormula array="1">IF(Table3D.1_DailyTTS_NB[[#This Row],[Year]]=Closeout,Traffic_27NB,Traffic_27NB+(TrafChange_NB*(Table3D.1_DailyTTS_NB[[#This Row],[Year]]-2027)))</calculatedColumnFormula>
    </tableColumn>
    <tableColumn id="3" xr3:uid="{84ECED3A-EC9C-4F57-A4DD-521AB83AC5D5}" name="Vehicle Miles Traveled (VMT/Day)" totalsRowFunction="average" dataDxfId="632" totalsRowDxfId="631" dataCellStyle="Comma">
      <calculatedColumnFormula array="1">IF(Table3D.1_DailyTTS_NB[[#This Row],[Year]]=Closeout,VMT_27NB,VMT_27NB+(VMTChange_NB*(Table3D.1_DailyTTS_NB[[#This Row],[Year]]-2027)))</calculatedColumnFormula>
    </tableColumn>
    <tableColumn id="4" xr3:uid="{951DF987-A60D-45BA-9275-509B4F736BC0}" name="Vehicle Hours Traveled (VHT/Day)" totalsRowFunction="average" dataDxfId="630" totalsRowDxfId="629" dataCellStyle="Comma">
      <calculatedColumnFormula array="1">IF(Table3D.1_DailyTTS_NB[[#This Row],[Year]]=Closeout,VHT_27NB,VHT_27NB+(VHTChange_NB*(Table3D.1_DailyTTS_NB[[#This Row],[Year]]-2027)))</calculatedColumnFormula>
    </tableColumn>
    <tableColumn id="5" xr3:uid="{BF0B4473-236B-4061-B9A1-7EC1217F839F}" name="Average Speed (MPH)" totalsRowFunction="average" dataDxfId="628" totalsRowDxfId="627" dataCellStyle="Comma">
      <calculatedColumnFormula array="1">IF(Table3D.1_DailyTTS_NB[[#This Row],[Year]]=Closeout,MPH_27NB,MPH_27NB+(MPHChange_NB*(Table3D.1_DailyTTS_NB[[#This Row],[Year]]-2027)))</calculatedColumnFormula>
    </tableColumn>
    <tableColumn id="6" xr3:uid="{50AB190E-F18A-47B2-A887-0F65DA5C9C8C}" name="Total Delay (hrs/day)" totalsRowFunction="average" dataDxfId="626" totalsRowDxfId="625" dataCellStyle="Comma">
      <calculatedColumnFormula array="1">IF(Table3D.1_DailyTTS_NB[[#This Row],[Year]]=Closeout,DelayTot_27NB,DelayTot_27NB+(DelayTotChange_NB*(Table3D.1_DailyTTS_NB[[#This Row],[Year]]-2027)))</calculatedColumnFormula>
    </tableColumn>
    <tableColumn id="7" xr3:uid="{54839B4C-A3E0-46E7-BC73-AA73422B7E85}" name="Average Delay (Hrs/Veh/Day)" totalsRowFunction="average" dataDxfId="624" totalsRowDxfId="623" dataCellStyle="Comma">
      <calculatedColumnFormula array="1">IF(Table3D.1_DailyTTS_NB[[#This Row],[Year]]=Closeout,AvgDelay_27NB,AvgDelay_27NB+(DelayChange_NB*(Table3D.1_DailyTTS_NB[[#This Row],[Year]]-2027)))</calculatedColumnFormula>
    </tableColumn>
  </tableColumns>
  <tableStyleInfo name="TableStyleLight11"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49B23DF5-8364-4689-B27A-EA6A092A431A}" name="Table3D.2_DailyTTS_PA" displayName="Table3D.2_DailyTTS_PA" ref="B50:H87" totalsRowCount="1" headerRowDxfId="622" dataDxfId="621">
  <autoFilter ref="B50:H86" xr:uid="{49B23DF5-8364-4689-B27A-EA6A092A431A}"/>
  <tableColumns count="7">
    <tableColumn id="1" xr3:uid="{CDFA33DA-4727-4637-9723-C5EE8E4A19BD}" name="Year" totalsRowLabel="Average" dataDxfId="620" totalsRowDxfId="619">
      <calculatedColumnFormula>First_Year+'Appendix B. Project Information'!B20</calculatedColumnFormula>
    </tableColumn>
    <tableColumn id="2" xr3:uid="{D82A9767-39C6-4FBA-B6B5-3F20A0EEA200}" name="Total Traffic in Network (Veh/Day)" totalsRowFunction="average" dataDxfId="618" totalsRowDxfId="617" dataCellStyle="Comma">
      <calculatedColumnFormula array="1">IF(Table3D.2_DailyTTS_PA[[#This Row],[Year]]=Closeout,Traffic_27PA,Traffic_27PA+(TrafChange_PA*(Table3D.2_DailyTTS_PA[[#This Row],[Year]]-2027)))</calculatedColumnFormula>
    </tableColumn>
    <tableColumn id="3" xr3:uid="{C39D9598-BA41-4179-BCC8-A8D023CA1C9C}" name="Vehicle Miles Traveled (VMT/Day)" totalsRowFunction="average" dataDxfId="616" totalsRowDxfId="615" dataCellStyle="Comma">
      <calculatedColumnFormula array="1">IF(Table3D.2_DailyTTS_PA[[#This Row],[Year]]=Closeout,VMT_27PA,VMT_27PA+(VMTChange_PA*(Table3D.2_DailyTTS_PA[[#This Row],[Year]]-2027)))</calculatedColumnFormula>
    </tableColumn>
    <tableColumn id="4" xr3:uid="{0206DF5B-B370-4FE6-8DB0-9C49DDDC5219}" name="Vehicle Hours Traveled (VHT/Day)" totalsRowFunction="average" dataDxfId="614" totalsRowDxfId="613" dataCellStyle="Comma">
      <calculatedColumnFormula array="1">IF(Table3D.2_DailyTTS_PA[[#This Row],[Year]]=Closeout,VHT_27PA,VHT_27PA+(VHTChange_PA*(Table3D.2_DailyTTS_PA[[#This Row],[Year]]-2027)))</calculatedColumnFormula>
    </tableColumn>
    <tableColumn id="5" xr3:uid="{F9CDBF1D-B039-4A0F-853F-11BEE47115B2}" name="Average Speed (MPH)" totalsRowFunction="average" dataDxfId="612" totalsRowDxfId="611" dataCellStyle="Comma">
      <calculatedColumnFormula array="1">IF(Table3D.2_DailyTTS_PA[[#This Row],[Year]]=Closeout,MPH_27PA,MPH_27PA+(MPHChange_PA*(Table3D.2_DailyTTS_PA[[#This Row],[Year]]-2027)))</calculatedColumnFormula>
    </tableColumn>
    <tableColumn id="6" xr3:uid="{4221C4E3-55CC-4653-9826-FC09BFDF37FE}" name="Total Delay (hrs/day)" totalsRowFunction="average" dataDxfId="610" totalsRowDxfId="609" dataCellStyle="Comma">
      <calculatedColumnFormula array="1">IF(Table3D.2_DailyTTS_PA[[#This Row],[Year]]=Closeout,DelayTot_27PA,DelayTot_27PA+(DelayTotChange_PA*(Table3D.2_DailyTTS_PA[[#This Row],[Year]]-2027)))</calculatedColumnFormula>
    </tableColumn>
    <tableColumn id="7" xr3:uid="{F17EB5D8-4559-4B79-9FD6-2F7C90A8FD19}" name="Average Delay (Hrs/Veh/Day)" totalsRowFunction="average" dataDxfId="608" totalsRowDxfId="607" dataCellStyle="Comma">
      <calculatedColumnFormula array="1">IF(Table3D.2_DailyTTS_PA[[#This Row],[Year]]=Closeout,AvgDelay_27PA,AvgDelay_27PA+(DelayChange_PA*(Table3D.2_DailyTTS_PA[[#This Row],[Year]]-2027)))</calculatedColumnFormula>
    </tableColumn>
  </tableColumns>
  <tableStyleInfo name="TableStyleLight11"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36697F77-A85D-4493-82E0-D986740F4729}" name="Table3D.3_TTSMoneySum" displayName="Table3D.3_TTSMoneySum" ref="B91:H128" totalsRowCount="1" headerRowDxfId="606" dataDxfId="605">
  <autoFilter ref="B91:H127" xr:uid="{36697F77-A85D-4493-82E0-D986740F4729}"/>
  <tableColumns count="7">
    <tableColumn id="1" xr3:uid="{5BDC68B6-7685-4CE9-8BE9-BFB58869CDF7}" name="Year" totalsRowLabel="Total" dataDxfId="604" totalsRowDxfId="603">
      <calculatedColumnFormula>B91+1</calculatedColumnFormula>
    </tableColumn>
    <tableColumn id="2" xr3:uid="{86D09780-2CCA-4078-B4D4-716FC4701025}" name="Car Delay Savings (Hrs/Day)" dataDxfId="602" dataCellStyle="Normal">
      <calculatedColumnFormula>IF(Table3D.3_TTSMoneySum[[#This Row],[Year]]&gt;Closeout,((G10-G51)*0.94),"")</calculatedColumnFormula>
    </tableColumn>
    <tableColumn id="3" xr3:uid="{537A924C-D190-448B-863C-1C1A1D090DB5}" name="Truck Delay Savings (Hrs/Day)" dataDxfId="601" dataCellStyle="Normal">
      <calculatedColumnFormula>IF(Table3D.3_TTSMoneySum[[#This Row],[Year]]&gt;Closeout,((G10-G51)*0.06),"")</calculatedColumnFormula>
    </tableColumn>
    <tableColumn id="4" xr3:uid="{81F1601A-258F-4C7C-8309-623A5971938A}" name="Car Savings Benefits ($/Day)" totalsRowFunction="sum" dataDxfId="600" totalsRowDxfId="599" dataCellStyle="Currency">
      <calculatedColumnFormula>IFERROR((Table3D.3_TTSMoneySum[[#This Row],[Car Delay Savings (Hrs/Day)]]*All_Purpose_Travel*Passenger_Vehicles_Occupancy),"")</calculatedColumnFormula>
    </tableColumn>
    <tableColumn id="5" xr3:uid="{96674F7A-5F3A-412F-B3B4-5F366C9152A1}" name="Truck Savings Benefits ($/Day)" totalsRowFunction="sum" dataDxfId="598" totalsRowDxfId="597" dataCellStyle="Currency">
      <calculatedColumnFormula>IFERROR((Table3D.3_TTSMoneySum[[#This Row],[Truck Delay Savings (Hrs/Day)]]*Truck_Travel),"")</calculatedColumnFormula>
    </tableColumn>
    <tableColumn id="6" xr3:uid="{083F51CD-3B9B-4D79-B3B8-C174C77E0085}" name="Annual Benefits, Low (270 Days)" totalsRowFunction="sum" totalsRowDxfId="596" dataCellStyle="Currency">
      <calculatedColumnFormula>SUM(Table3D.3_TTSMoneySum[[#This Row],[Car Savings Benefits ($/Day)]:[Truck Savings Benefits ($/Day)]])*270</calculatedColumnFormula>
    </tableColumn>
    <tableColumn id="7" xr3:uid="{72320D61-8882-48FC-97C7-8C1B686C5127}" name="Annual Benefits, High (365 Days)" totalsRowFunction="sum" totalsRowDxfId="595" dataCellStyle="Currency">
      <calculatedColumnFormula>SUM(Table3D.3_TTSMoneySum[[#This Row],[Car Savings Benefits ($/Day)]:[Truck Savings Benefits ($/Day)]])*365</calculatedColumnFormula>
    </tableColumn>
  </tableColumns>
  <tableStyleInfo name="TableStyleLight11"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CD0B41C0-D295-470F-A0D7-33A6ABB0B443}" name="Table3.1_TTS_Sum_Open94" displayName="Table3.1_TTS_Sum_Open94" ref="B14:I16" headerRowDxfId="594" dataDxfId="593">
  <autoFilter ref="B14:I16" xr:uid="{06897DCA-AE3A-4A9C-96AC-23AFB93E1B1B}"/>
  <tableColumns count="8">
    <tableColumn id="1" xr3:uid="{95056CB6-7262-486C-AC5E-FA035CA58B9F}" name="Scenario" totalsRowLabel="Average" dataDxfId="592" totalsRowDxfId="591"/>
    <tableColumn id="2" xr3:uid="{8D6368B8-3608-4B20-BC81-C5B071613FCB}" name="Total Traffic in Network (Veh/Day)" dataDxfId="590" totalsRowDxfId="589" dataCellStyle="Comma"/>
    <tableColumn id="3" xr3:uid="{0230FFD9-39ED-4E79-B178-52C3AE48ECE5}" name="Vehicle Miles Traveled (VMT/Day)" dataDxfId="588" totalsRowDxfId="587" dataCellStyle="Comma"/>
    <tableColumn id="4" xr3:uid="{61154788-6B2E-46E0-BE6D-B859C9B550C7}" name="Vehicle Hours Traveled (VHT/Day)" dataDxfId="586" totalsRowDxfId="585" dataCellStyle="Comma"/>
    <tableColumn id="5" xr3:uid="{FEDA7276-DABE-4DC0-BA19-3BE523EF702E}" name="Average Speed (MPH)" dataDxfId="584" totalsRowDxfId="583" dataCellStyle="Comma"/>
    <tableColumn id="7" xr3:uid="{FD87AC61-C663-42C3-97A1-5FC6A3106324}" name="Average Delay (Hrs/Veh/Day)" dataDxfId="582" totalsRowDxfId="581" dataCellStyle="Comma"/>
    <tableColumn id="8" xr3:uid="{BC2B08FF-3F44-4BC2-9B6B-601C42ED49FD}" name="Travel Time Savings Benefit ($/Day)" totalsRowFunction="average" dataDxfId="580" totalsRowDxfId="579" dataCellStyle="Currency"/>
    <tableColumn id="6" xr3:uid="{494A987C-AE3A-4465-9586-8B60CD8D97E6}" name="Annual Benefit ($/Year)" dataDxfId="578" totalsRowDxfId="577" dataCellStyle="Comma">
      <calculatedColumnFormula>Table3.1_TTS_Sum_Open94[[#This Row],[Travel Time Savings Benefit ($/Day)]]*365</calculatedColumnFormula>
    </tableColumn>
  </tableColumns>
  <tableStyleInfo name="TableStyleLight9"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2165E2D3-FBCB-409D-B5EE-952AA9389ED3}" name="Table3.3_TTS_Rates95" displayName="Table3.3_TTS_Rates95" ref="B26:I28" totalsRowShown="0" headerRowDxfId="576" dataDxfId="575" dataCellStyle="Comma">
  <autoFilter ref="B26:I28" xr:uid="{E399932F-1254-4EA6-AA57-FA15B8846BAE}"/>
  <tableColumns count="8">
    <tableColumn id="1" xr3:uid="{B1ED4469-22F4-4D2F-8CD9-BA88766702F7}" name="Scenario" dataDxfId="574"/>
    <tableColumn id="2" xr3:uid="{18C4C43A-1E96-47D6-9913-764C004BF4D6}" name="Total Traffic in Network (Veh/Day)" dataDxfId="573" dataCellStyle="Comma">
      <calculatedColumnFormula>(C21-C15)/30</calculatedColumnFormula>
    </tableColumn>
    <tableColumn id="3" xr3:uid="{E50F71BA-247D-4F0F-8AE6-F44D8D6D11C4}" name="Vehicle Miles Traveled (VMT/Day)" dataDxfId="572" dataCellStyle="Comma">
      <calculatedColumnFormula>(D21-D15)/30</calculatedColumnFormula>
    </tableColumn>
    <tableColumn id="4" xr3:uid="{DA3078A9-0015-4071-A126-FB699F0F4322}" name="Vehicle Hours Traveled (VHT/Day)" dataDxfId="571" dataCellStyle="Comma">
      <calculatedColumnFormula>(E21-E15)/30</calculatedColumnFormula>
    </tableColumn>
    <tableColumn id="5" xr3:uid="{60D41092-F51C-4470-A9B2-5C18E090F043}" name="Average Speed (MPH)" dataDxfId="570" dataCellStyle="Comma">
      <calculatedColumnFormula>(F21-F15)/30</calculatedColumnFormula>
    </tableColumn>
    <tableColumn id="6" xr3:uid="{C1BA5FC6-8504-4276-8D10-FE8B1F9408C1}" name="Average Delay (Hrs/Veh/Day)" dataDxfId="569" dataCellStyle="Comma">
      <calculatedColumnFormula>(G21-G15)/30</calculatedColumnFormula>
    </tableColumn>
    <tableColumn id="7" xr3:uid="{97D62E57-9EC5-4211-892F-2A752EF9A0EB}" name="Travel Time Savings Benefit ($/Day)" dataDxfId="568" dataCellStyle="Currency">
      <calculatedColumnFormula>(H21-H15)/30</calculatedColumnFormula>
    </tableColumn>
    <tableColumn id="8" xr3:uid="{BE92DECD-ADAA-4920-8279-F2D54EBB0567}" name="Annual Benefit ($/Year)" dataDxfId="567" dataCellStyle="Comma">
      <calculatedColumnFormula>Table3.3_TTS_Rates95[[#This Row],[Travel Time Savings Benefit ($/Day)]]*365</calculatedColumnFormula>
    </tableColumn>
  </tableColumns>
  <tableStyleInfo name="TableStyleLight9"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15875DEE-42E4-4DB9-9DF1-E5031523FC10}" name="Table3.2_TTS_Sum_Des96" displayName="Table3.2_TTS_Sum_Des96" ref="B20:I22" headerRowDxfId="566" dataDxfId="565">
  <autoFilter ref="B20:I22" xr:uid="{45FBF7C7-A927-4188-8E35-2B07F67FB051}"/>
  <tableColumns count="8">
    <tableColumn id="1" xr3:uid="{7000D20B-29DA-4738-BBFF-85204837F546}" name="Scenario" totalsRowLabel="Average" dataDxfId="564" totalsRowDxfId="563"/>
    <tableColumn id="2" xr3:uid="{7799F28B-E1C6-46B0-855A-DF566DB607A8}" name="Total Traffic in Network (Veh/Day)" dataDxfId="562" totalsRowDxfId="561" dataCellStyle="Comma"/>
    <tableColumn id="3" xr3:uid="{4C8EAA8E-F987-42D1-99F7-4896A66FBAA5}" name="Vehicle Miles Traveled (VMT/Day)" dataDxfId="560" totalsRowDxfId="559" dataCellStyle="Comma"/>
    <tableColumn id="4" xr3:uid="{C72A5951-1E31-4BE3-8038-595D8918A602}" name="Vehicle Hours Traveled (VHT/Day)" dataDxfId="558" totalsRowDxfId="557" dataCellStyle="Comma"/>
    <tableColumn id="5" xr3:uid="{0BCE7362-F59B-428B-9B43-739700A650DE}" name="Average Speed (MPH)" dataDxfId="556" totalsRowDxfId="555" dataCellStyle="Comma"/>
    <tableColumn id="7" xr3:uid="{3C04AE9F-2C91-49FE-A82E-1A9169ED7C24}" name="Average Delay (Hrs/Veh/Day)" dataDxfId="554" totalsRowDxfId="553" dataCellStyle="Comma"/>
    <tableColumn id="8" xr3:uid="{F484DD78-3DF2-4BB5-B2B7-567F153CA696}" name="Travel Time Savings Benefit ($/Day)" totalsRowFunction="average" dataDxfId="552" totalsRowDxfId="551" dataCellStyle="Currency"/>
    <tableColumn id="6" xr3:uid="{B6E6D3DF-E1CF-48C0-BBD0-26EC45677200}" name="Annual Benefit ($/Year)" dataDxfId="550" totalsRowDxfId="549" dataCellStyle="Comma">
      <calculatedColumnFormula>Table3.2_TTS_Sum_Des96[[#This Row],[Travel Time Savings Benefit ($/Day)]]*365</calculatedColumnFormula>
    </tableColumn>
  </tableColumns>
  <tableStyleInfo name="TableStyleLight9"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B6E7BE8E-4BAC-45A2-9C90-8B0C8C0F45A3}" name="Table5397" displayName="Table5397" ref="B32:I35" totalsRowCount="1" headerRowDxfId="548">
  <autoFilter ref="B32:I34" xr:uid="{342805B7-3E4C-4366-A65A-AFE47D81F5A5}"/>
  <tableColumns count="8">
    <tableColumn id="1" xr3:uid="{33BB5EBE-171F-4827-8B63-452D3E0525D4}" name="Scenario" totalsRowLabel="Total" dataDxfId="547" totalsRowDxfId="546"/>
    <tableColumn id="2" xr3:uid="{9A2732F3-3234-4611-87FF-BCE5C23F01E5}" name="Total Traffic in Network _x000a_(Avg. Veh/Day)" totalsRowFunction="custom" totalsRowDxfId="545" dataCellStyle="Comma">
      <calculatedColumnFormula>Table3D.1_DailyTTS_NB110[[#Totals],[Total Traffic in Network (Veh/Day)]]</calculatedColumnFormula>
      <totalsRowFormula>C34-C33</totalsRowFormula>
    </tableColumn>
    <tableColumn id="3" xr3:uid="{8744C1E8-3DAA-4617-A54B-958448367B60}" name="Vehicle Miles Traveled _x000a_(Avg. VMT/Day)" totalsRowFunction="custom" totalsRowDxfId="544" dataCellStyle="Comma">
      <totalsRowFormula>D34-D33</totalsRowFormula>
    </tableColumn>
    <tableColumn id="4" xr3:uid="{F8DDB739-2D07-406F-B86C-01EABBAE7D43}" name="Vehicle Hours Traveled _x000a_(Avg. VHT/Day)" totalsRowFunction="custom" dataDxfId="543" totalsRowDxfId="542" dataCellStyle="Comma">
      <totalsRowFormula>E34-E33</totalsRowFormula>
    </tableColumn>
    <tableColumn id="5" xr3:uid="{82239668-0A03-4666-BB6B-1147DC84C833}" name="Average Speed (MPH)" totalsRowFunction="custom" dataDxfId="541" totalsRowDxfId="540" dataCellStyle="Comma">
      <totalsRowFormula>F34-F33</totalsRowFormula>
    </tableColumn>
    <tableColumn id="6" xr3:uid="{942FE08C-529A-4AF2-8FB1-8F84E81CE4B7}" name="Total Delay_x000a_(Avg. Hours/Day)" totalsRowFunction="custom" totalsRowDxfId="539" dataCellStyle="Comma">
      <totalsRowFormula>G34-G33</totalsRowFormula>
    </tableColumn>
    <tableColumn id="7" xr3:uid="{3FE9105D-42BE-4AA6-9218-597ECBEE9FA8}" name="Travel Time Savings Benefit (Avg. $/Year)" totalsRowFunction="custom" totalsRowDxfId="538" totalsRowCellStyle="Currency 2">
      <totalsRowFormula>H34-H33</totalsRowFormula>
    </tableColumn>
    <tableColumn id="8" xr3:uid="{9966C156-F4C3-4B96-B631-0F8A1D65E1B3}" name="30-Year Total" totalsRowFunction="sum" dataDxfId="537" totalsRowDxfId="536">
      <calculatedColumnFormula>Table5397[[#This Row],[Travel Time Savings Benefit (Avg. $/Year)]]*30</calculatedColumnFormula>
    </tableColumn>
  </tableColumns>
  <tableStyleInfo name="TableStyleLight14"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1CE62626-A78E-448E-9195-35D34C206346}" name="Table3B.1_22TTS98" displayName="Table3B.1_22TTS98" ref="B16:H32" totalsRowCount="1" headerRowDxfId="535" dataDxfId="534" totalsRowDxfId="533" dataCellStyle="Input">
  <autoFilter ref="B16:H31" xr:uid="{1B59B2E7-5521-4EE4-8731-9D9DEFD23321}"/>
  <tableColumns count="7">
    <tableColumn id="1" xr3:uid="{AB88AD3C-A577-4101-9D69-6DE871BB41C7}" name="Time" totalsRowLabel="Total" dataDxfId="532" totalsRowDxfId="531"/>
    <tableColumn id="2" xr3:uid="{B83AD045-BE05-4E2A-A30C-E25C76794099}" name="Total Vehicles in Network" totalsRowFunction="sum" dataDxfId="530" totalsRowDxfId="529" dataCellStyle="Input"/>
    <tableColumn id="3" xr3:uid="{E31F5DF8-8014-42A8-85CC-522A21F20AE8}" name="VMT: Total Path Distance (mi)" totalsRowFunction="sum" dataDxfId="528" totalsRowDxfId="527" dataCellStyle="Input"/>
    <tableColumn id="4" xr3:uid="{920ABCA1-821E-413E-9E78-29B00813DC18}" name="VHT: Total Time in Network (hr)" totalsRowFunction="sum" dataDxfId="526" totalsRowDxfId="525" dataCellStyle="Input"/>
    <tableColumn id="5" xr3:uid="{96BEBAE4-75EE-4107-A658-F9AE72B97DC0}" name="Average Speed (mph)" totalsRowFunction="average" dataDxfId="524" totalsRowDxfId="523" dataCellStyle="Input"/>
    <tableColumn id="6" xr3:uid="{3AC99727-4EAA-4EA7-A451-1AA4A1B086E6}" name="Total Delay (hr)" totalsRowFunction="sum" dataDxfId="522" totalsRowDxfId="521" dataCellStyle="Input"/>
    <tableColumn id="7" xr3:uid="{E5090C31-50DD-4A13-BB56-372D868B59E0}" name="Average Delay (hr/veh)" totalsRowFunction="average" dataDxfId="520" totalsRowDxfId="519" dataCellStyle="Input"/>
  </tableColumns>
  <tableStyleInfo name="TableStyleLight11"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409CCDF4-7EFE-4B45-8832-A33E70B05C88}" name="Table3B.2_22Delay99" displayName="Table3B.2_22Delay99" ref="B36:H52" totalsRowCount="1" headerRowDxfId="518" dataDxfId="517">
  <autoFilter ref="B36:H51" xr:uid="{A41960AA-9A63-4180-8358-446E2497D0EF}"/>
  <tableColumns count="7">
    <tableColumn id="1" xr3:uid="{D1423D2B-5041-4D18-94E7-DD3F11B396C7}" name="Time" totalsRowLabel="Total" dataDxfId="516" totalsRowDxfId="515"/>
    <tableColumn id="2" xr3:uid="{5EBF0EF7-AC74-405C-AA53-EF4030A56E0A}" name="Car Traffic Share" dataDxfId="514" totalsRowDxfId="513" dataCellStyle="Input"/>
    <tableColumn id="3" xr3:uid="{9D0D82E6-445D-47A4-87E4-9D48642A45DE}" name="Truck Traffic Share" dataDxfId="512" totalsRowDxfId="511" dataCellStyle="Input"/>
    <tableColumn id="4" xr3:uid="{FB2F2882-BAC6-4453-BE78-2B7960DEA80A}" name="Car Traffic" totalsRowFunction="sum" dataDxfId="510" totalsRowDxfId="509" dataCellStyle="Comma">
      <calculatedColumnFormula>C17*Table3B.2_22Delay99[[#This Row],[Car Traffic Share]]</calculatedColumnFormula>
    </tableColumn>
    <tableColumn id="5" xr3:uid="{E9E65829-68D0-4F6B-88AB-E6680BAAC2C9}" name="Car Delay _x000a_(hrs)" totalsRowFunction="sum" dataDxfId="508" totalsRowDxfId="507" dataCellStyle="Calculation">
      <calculatedColumnFormula>H17*Table3B.2_22Delay99[[#This Row],[Car Traffic]]</calculatedColumnFormula>
    </tableColumn>
    <tableColumn id="6" xr3:uid="{503F4C88-DD09-4C3C-9CFE-0CCA9E9E66C7}" name="Truck Traffic" totalsRowFunction="sum" dataDxfId="506" totalsRowDxfId="505" dataCellStyle="Calculation">
      <calculatedColumnFormula>C17*Table3B.2_22Delay99[[#This Row],[Truck Traffic Share]]</calculatedColumnFormula>
    </tableColumn>
    <tableColumn id="7" xr3:uid="{C57EACF9-8DF7-491C-904A-ECED7A61C766}" name="Truck Delay (hrs)" totalsRowFunction="sum" dataDxfId="504" totalsRowDxfId="503" dataCellStyle="Calculation">
      <calculatedColumnFormula>H17*Table3B.2_22Delay99[[#This Row],[Truck Traffic]]</calculatedColumnFormula>
    </tableColumn>
  </tableColumns>
  <tableStyleInfo name="TableStyleLight11"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B8BB2132-245E-473C-A85B-E5E0739F0D3D}" name="Table3B.3_27TTS_NB100" displayName="Table3B.3_27TTS_NB100" ref="B56:H72" totalsRowCount="1" headerRowDxfId="502" dataDxfId="501" dataCellStyle="Input">
  <autoFilter ref="B56:H71" xr:uid="{F3553AA8-B0B6-4436-B070-1926966DD78F}"/>
  <tableColumns count="7">
    <tableColumn id="1" xr3:uid="{4038848D-FA79-4DEA-9348-53772DBDAD9A}" name="Time" totalsRowLabel="Total" dataDxfId="500" totalsRowDxfId="499"/>
    <tableColumn id="2" xr3:uid="{8AE6D803-CA9A-4847-AF20-7E8156AF48D1}" name="Total Vehicles in Network" totalsRowFunction="sum" dataDxfId="498" totalsRowDxfId="497" dataCellStyle="Input"/>
    <tableColumn id="3" xr3:uid="{0D23182E-F7FE-481F-B05F-85E756D09F4E}" name="VMT: Total Path Distance (mi)" totalsRowFunction="sum" dataDxfId="496" totalsRowDxfId="495" dataCellStyle="Input"/>
    <tableColumn id="4" xr3:uid="{8D21A9D4-2435-434D-A124-BE53AB4DEAB5}" name="VHT: Total Time in Network (hr)" totalsRowFunction="sum" dataDxfId="494" totalsRowDxfId="493" dataCellStyle="Input"/>
    <tableColumn id="5" xr3:uid="{EF763F62-FFC1-41C4-B72D-6EE730A25F55}" name="Average Speed (mph)" totalsRowFunction="average" dataDxfId="492" totalsRowDxfId="491" dataCellStyle="Input"/>
    <tableColumn id="6" xr3:uid="{CC966794-4EBC-4F2F-AFFB-6B4E484931E3}" name="Total Delay (hr)" totalsRowFunction="sum" dataDxfId="490" totalsRowDxfId="489" dataCellStyle="Input"/>
    <tableColumn id="7" xr3:uid="{2AA47ABC-9706-4AF1-8716-A77AE33590AA}" name="Average Delay (hr/veh)" totalsRowFunction="average" dataDxfId="488" totalsRowDxfId="487" dataCellStyle="Input"/>
  </tableColumns>
  <tableStyleInfo name="TableStyleLight11"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C0CA1B47-7E2D-42FF-A086-A75AED366FA9}" name="Table3B.5_27TTS_PA101" displayName="Table3B.5_27TTS_PA101" ref="B96:H112" totalsRowCount="1" headerRowDxfId="486" dataDxfId="485" dataCellStyle="Input">
  <autoFilter ref="B96:H111" xr:uid="{C700F461-FD7E-4502-B1AD-801EF88ED65C}"/>
  <tableColumns count="7">
    <tableColumn id="1" xr3:uid="{D87AD3D8-FD86-4157-B784-E62ADC899C24}" name="Time" totalsRowLabel="Total" dataDxfId="484" totalsRowDxfId="483"/>
    <tableColumn id="2" xr3:uid="{395B25F7-F8CE-4DC8-86B2-0FA3B9FA8C21}" name="Total Vehicles Traveling Within the Network" totalsRowFunction="sum" dataDxfId="482" totalsRowDxfId="481" dataCellStyle="Input"/>
    <tableColumn id="3" xr3:uid="{DEBAD64C-1ADA-4726-920C-B3EA7E9598DF}" name="VMT: Total Path Distance (mi)" totalsRowFunction="sum" dataDxfId="480" totalsRowDxfId="479" dataCellStyle="Input"/>
    <tableColumn id="4" xr3:uid="{55D7B833-B6EA-4CD5-9989-5EA77D966BB5}" name="VHT: Total Time Within the Network (hr)" totalsRowFunction="sum" dataDxfId="478" totalsRowDxfId="477" dataCellStyle="Input"/>
    <tableColumn id="5" xr3:uid="{56434A54-D5FD-43DB-8121-8906D3AD4F7C}" name="Average Speed (mph)" totalsRowFunction="average" dataDxfId="476" totalsRowDxfId="475" dataCellStyle="Input"/>
    <tableColumn id="6" xr3:uid="{D597E336-A159-489A-925C-FFD284A5E16C}" name="Total Delay: All Vehicles (hr)" totalsRowFunction="sum" dataDxfId="474" totalsRowDxfId="473" dataCellStyle="Input"/>
    <tableColumn id="7" xr3:uid="{CC60B383-3E95-4DDC-B616-D5B7B5BDB687}" name="Average Delay: Per Vehicle (hr/veh)" totalsRowFunction="average" dataDxfId="472" totalsRowDxfId="471" dataCellStyle="Input"/>
  </tableColumns>
  <tableStyleInfo name="TableStyleLight11"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BD8B8F2F-050D-4009-A0F2-569F71675D81}" name="Table3B.4_27Delay_NB102" displayName="Table3B.4_27Delay_NB102" ref="B76:H92" totalsRowCount="1" headerRowDxfId="470" dataDxfId="469">
  <autoFilter ref="B76:H91" xr:uid="{1402CC7F-51AE-4B67-BF8E-E3A20CD43F22}"/>
  <tableColumns count="7">
    <tableColumn id="1" xr3:uid="{6DA3FB3E-FACE-4CFC-8242-72A73FED6020}" name="Time" totalsRowLabel="Total" dataDxfId="468" totalsRowDxfId="467"/>
    <tableColumn id="2" xr3:uid="{335058CF-579B-4A1F-992C-12E2B83274C4}" name="Car Traffic Share" dataDxfId="466" totalsRowDxfId="465" dataCellStyle="Input"/>
    <tableColumn id="3" xr3:uid="{5B706D5A-DD80-411B-A0F5-AE51096C8FD5}" name="Truck Traffic Share" dataDxfId="464" totalsRowDxfId="463" dataCellStyle="Input"/>
    <tableColumn id="4" xr3:uid="{62843F40-2EEF-45D2-A1E6-25137347BA73}" name="Car Traffic" totalsRowFunction="sum" dataDxfId="462" totalsRowDxfId="461" dataCellStyle="Comma">
      <calculatedColumnFormula>C57*Table3B.4_27Delay_NB102[[#This Row],[Car Traffic Share]]</calculatedColumnFormula>
    </tableColumn>
    <tableColumn id="5" xr3:uid="{B6A71DA0-7A31-45BE-80F4-D8E2A71322C0}" name="Car Delay _x000a_(hrs)" totalsRowFunction="sum" dataDxfId="460" totalsRowDxfId="459" dataCellStyle="Calculation">
      <calculatedColumnFormula>H57*Table3B.4_27Delay_NB102[[#This Row],[Car Traffic]]</calculatedColumnFormula>
    </tableColumn>
    <tableColumn id="6" xr3:uid="{86E48F82-B195-49B5-93BA-5D368CB5FC76}" name="Truck Traffic" totalsRowFunction="sum" dataDxfId="458" totalsRowDxfId="457" dataCellStyle="Calculation">
      <calculatedColumnFormula>C57*Table3B.4_27Delay_NB102[[#This Row],[Truck Traffic Share]]</calculatedColumnFormula>
    </tableColumn>
    <tableColumn id="7" xr3:uid="{8C610DD7-29BB-4696-A118-2E7FF4066B7B}" name="Truck Delay (hrs)" totalsRowFunction="sum" dataDxfId="456" totalsRowDxfId="455" dataCellStyle="Calculation">
      <calculatedColumnFormula>H57*Table3B.4_27Delay_NB102[[#This Row],[Truck Traffic]]</calculatedColumnFormula>
    </tableColumn>
  </tableColumns>
  <tableStyleInfo name="TableStyleLight11"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A296EC04-7263-4ED0-BB7A-A938CC36B60F}" name="Table3B.6_27Delay_PA103" displayName="Table3B.6_27Delay_PA103" ref="B116:H132" totalsRowCount="1" headerRowDxfId="454" dataDxfId="453" totalsRowDxfId="452">
  <autoFilter ref="B116:H131" xr:uid="{81A461C4-51BB-400A-B285-CD5C0B2D9918}"/>
  <tableColumns count="7">
    <tableColumn id="1" xr3:uid="{AB18297E-4253-4482-BBCF-AAD2684BAE2F}" name="Time" totalsRowLabel="Total" dataDxfId="451" totalsRowDxfId="450"/>
    <tableColumn id="2" xr3:uid="{801363EC-3291-4111-B7A6-E51E324E2378}" name="Car Traffic Share" dataDxfId="449" totalsRowDxfId="448" dataCellStyle="Input"/>
    <tableColumn id="3" xr3:uid="{919AF78D-8E3C-4FD7-B7FD-AFA0695D62D1}" name="Truck Traffic Share" dataDxfId="447" totalsRowDxfId="446" dataCellStyle="Input"/>
    <tableColumn id="4" xr3:uid="{522AC37A-3FD2-4F1E-B021-DC6D3762F917}" name="Car Traffic" totalsRowFunction="sum" dataDxfId="445" totalsRowDxfId="444" dataCellStyle="Comma">
      <calculatedColumnFormula>C97*Table3B.6_27Delay_PA103[[#This Row],[Car Traffic Share]]</calculatedColumnFormula>
    </tableColumn>
    <tableColumn id="5" xr3:uid="{58CD6187-F96F-465B-A848-295FB74D8EE1}" name="Car Delay _x000a_(hrs)" totalsRowFunction="sum" dataDxfId="443" totalsRowDxfId="442" dataCellStyle="Calculation">
      <calculatedColumnFormula>H97*Table3B.6_27Delay_PA103[[#This Row],[Car Traffic]]</calculatedColumnFormula>
    </tableColumn>
    <tableColumn id="6" xr3:uid="{2B87ADC0-1D99-4C92-9E0F-17088AB03CB5}" name="Truck Traffic" totalsRowFunction="sum" dataDxfId="441" totalsRowDxfId="440" dataCellStyle="Calculation">
      <calculatedColumnFormula>C97*Table3B.6_27Delay_PA103[[#This Row],[Truck Traffic Share]]</calculatedColumnFormula>
    </tableColumn>
    <tableColumn id="7" xr3:uid="{DA146AFC-4B99-474F-BE29-7ECB1D363324}" name="Truck Delay (hrs)" totalsRowFunction="sum" dataDxfId="439" totalsRowDxfId="438" dataCellStyle="Calculation">
      <calculatedColumnFormula>H97*Table3B.6_27Delay_PA103[[#This Row],[Truck Traffic]]</calculatedColumnFormula>
    </tableColumn>
  </tableColumns>
  <tableStyleInfo name="TableStyleLight11"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F4CA7D3D-C3B2-4650-9251-5FA62BDBF4DA}" name="Table3B.7_27Money104" displayName="Table3B.7_27Money104" ref="B136:H152" totalsRowCount="1" headerRowDxfId="437" dataDxfId="436">
  <autoFilter ref="B136:H151" xr:uid="{8F0E8748-4A9B-4AF4-B254-F63994A79242}"/>
  <tableColumns count="7">
    <tableColumn id="1" xr3:uid="{B4684DE1-E226-4A64-9E75-EA7042CD5149}" name="Time" totalsRowLabel="Total" dataDxfId="435" totalsRowDxfId="434"/>
    <tableColumn id="2" xr3:uid="{1D8B34ED-913D-4EBE-BA7D-0EC6D5475EF9}" name="Car Delay Savings (hrs)" dataDxfId="433" totalsRowDxfId="432" dataCellStyle="Comma">
      <calculatedColumnFormula>F77-F117</calculatedColumnFormula>
    </tableColumn>
    <tableColumn id="3" xr3:uid="{29701312-1FF3-4831-B68E-F415011C3784}" name="Truck Delay Savings (hrs)" dataDxfId="431" totalsRowDxfId="430" dataCellStyle="Comma">
      <calculatedColumnFormula>H77-H117</calculatedColumnFormula>
    </tableColumn>
    <tableColumn id="4" xr3:uid="{D9E83AA2-F7E4-4087-AC06-1391EBA66ABD}" name="Car Savings Benefits (Daily)" totalsRowFunction="sum" totalsRowDxfId="429" dataCellStyle="Currency" totalsRowCellStyle="Currency">
      <calculatedColumnFormula>Table3B.7_27Money104[[#This Row],[Car Delay Savings (hrs)]]*All_Purpose_Travel*Passenger_Vehicles_Occupancy</calculatedColumnFormula>
    </tableColumn>
    <tableColumn id="5" xr3:uid="{BFD86185-170D-4FFC-B03B-F4B693ED6CED}" name="Truck Savings Benefits (Daily)" totalsRowFunction="sum" totalsRowDxfId="428" dataCellStyle="Currency" totalsRowCellStyle="Currency">
      <calculatedColumnFormula>Table3B.7_27Money104[[#This Row],[Truck Delay Savings (hrs)]]*Truck_Travel</calculatedColumnFormula>
    </tableColumn>
    <tableColumn id="6" xr3:uid="{9DAE6B93-F39B-40DE-ADCF-5FE0383D61E6}" name="Total Benefits, Low (270 Days)" totalsRowFunction="sum" totalsRowDxfId="427" dataCellStyle="Currency" totalsRowCellStyle="Currency">
      <calculatedColumnFormula>(Table3B.7_27Money104[[#This Row],[Truck Savings Benefits (Daily)]]+Table3B.7_27Money104[[#This Row],[Car Savings Benefits (Daily)]])*270</calculatedColumnFormula>
    </tableColumn>
    <tableColumn id="7" xr3:uid="{A53C4425-3544-4F2C-803B-AC9A1F865D8D}" name="Total Benefits, High (365 Days)" totalsRowFunction="sum" totalsRowDxfId="426" dataCellStyle="Currency" totalsRowCellStyle="Currency">
      <calculatedColumnFormula>(Table3B.7_27Money104[[#This Row],[Car Savings Benefits (Daily)]]+Table3B.7_27Money104[[#This Row],[Truck Savings Benefits (Daily)]])*365</calculatedColumnFormula>
    </tableColumn>
  </tableColumns>
  <tableStyleInfo name="TableStyleLight11"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 xr:uid="{B1E27161-D686-40FA-A90A-C7A3F83E1CDD}" name="Table3C.1_57TTS_NB105" displayName="Table3C.1_57TTS_NB105" ref="B10:H26" totalsRowCount="1" headerRowDxfId="425" dataDxfId="424" dataCellStyle="Input">
  <autoFilter ref="B10:H25" xr:uid="{F3553AA8-B0B6-4436-B070-1926966DD78F}"/>
  <tableColumns count="7">
    <tableColumn id="1" xr3:uid="{788A6019-BEFF-40B3-AA5A-0BAB64DA732A}" name="Time" totalsRowLabel="Total" dataDxfId="423" totalsRowDxfId="422"/>
    <tableColumn id="2" xr3:uid="{A9F8E65F-34F1-4A5A-BBB7-534ADFF0A926}" name="Total Vehicles in Network" totalsRowFunction="sum" dataDxfId="421" totalsRowDxfId="420" dataCellStyle="Input"/>
    <tableColumn id="3" xr3:uid="{0F8FA11A-725D-4173-A0DC-05620823AA82}" name="VMT: Total Path Distance (mi)" totalsRowFunction="sum" dataDxfId="419" totalsRowDxfId="418" dataCellStyle="Input"/>
    <tableColumn id="4" xr3:uid="{C972BC8B-5D58-4F22-9CAB-0B688BEACE1E}" name="VHT: Total Time in Network (hr)" totalsRowFunction="sum" dataDxfId="417" totalsRowDxfId="416" dataCellStyle="Input"/>
    <tableColumn id="5" xr3:uid="{5E8059B3-C33C-4D49-B953-0BC75B96ACBA}" name="Average Speed (mph)" totalsRowFunction="average" dataDxfId="415" totalsRowDxfId="414" dataCellStyle="Input"/>
    <tableColumn id="6" xr3:uid="{AB298FF2-E3F5-45A7-B24E-EBA95F071697}" name="Total Delay (hr)" totalsRowFunction="sum" dataDxfId="413" totalsRowDxfId="412" dataCellStyle="Input"/>
    <tableColumn id="7" xr3:uid="{CD9F7AB6-40EC-4E91-9FF5-16357DD96C70}" name="Average Delay (hr/veh)" totalsRowFunction="average" dataDxfId="411" totalsRowDxfId="410" dataCellStyle="Input"/>
  </tableColumns>
  <tableStyleInfo name="TableStyleLight11"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 xr:uid="{F6FA757D-62CD-4CF5-9680-4693B65DF772}" name="Table3C.3_57TTS_PA106" displayName="Table3C.3_57TTS_PA106" ref="B50:H66" totalsRowCount="1" headerRowDxfId="409" dataDxfId="408" dataCellStyle="Input">
  <autoFilter ref="B50:H65" xr:uid="{C700F461-FD7E-4502-B1AD-801EF88ED65C}"/>
  <tableColumns count="7">
    <tableColumn id="1" xr3:uid="{DE3C92BE-B80C-4350-95C7-EC58BFBDD083}" name="Time" totalsRowLabel="Total" dataDxfId="407" totalsRowDxfId="406"/>
    <tableColumn id="2" xr3:uid="{AA40C3E6-C107-4F10-9688-73A2E9EE7F5F}" name="Total Vehicles Traveling Within the Network" totalsRowFunction="sum" dataDxfId="405" totalsRowDxfId="404" dataCellStyle="Input"/>
    <tableColumn id="3" xr3:uid="{A46C641B-FBE0-446E-8FDA-886E26CC3C65}" name="VMT: Total Path Distance (mi)" totalsRowFunction="sum" dataDxfId="403" totalsRowDxfId="402" dataCellStyle="Input"/>
    <tableColumn id="4" xr3:uid="{A2C5D16E-9671-4A62-92EF-52DB28B1D783}" name="VHT: Total Time Within the Network (hr)" totalsRowFunction="sum" dataDxfId="401" totalsRowDxfId="400" dataCellStyle="Input"/>
    <tableColumn id="5" xr3:uid="{BAAE98F1-6C62-4BBD-8204-01654905DCDE}" name="Average Speed (mph)" totalsRowFunction="average" dataDxfId="399" totalsRowDxfId="398" dataCellStyle="Input"/>
    <tableColumn id="6" xr3:uid="{F25AF35E-9983-4486-8DC9-F3154551CAC9}" name="Total Delay: All Vehicles (hr)" totalsRowFunction="sum" dataDxfId="397" totalsRowDxfId="396" dataCellStyle="Input"/>
    <tableColumn id="7" xr3:uid="{FEC03534-B569-4BF5-BBCE-1CDC5C2C812C}" name="Average Delay: Per Vehicle (hr/veh)" totalsRowFunction="average" dataDxfId="395" totalsRowDxfId="394" dataCellStyle="Input"/>
  </tableColumns>
  <tableStyleInfo name="TableStyleLight11"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 xr:uid="{C6BB6E96-4C5D-4250-B43F-89C4BA462184}" name="Table3C.2_57_Delay_NB107" displayName="Table3C.2_57_Delay_NB107" ref="B30:H46" totalsRowCount="1" headerRowDxfId="393" dataDxfId="392">
  <autoFilter ref="B30:H45" xr:uid="{1402CC7F-51AE-4B67-BF8E-E3A20CD43F22}"/>
  <tableColumns count="7">
    <tableColumn id="1" xr3:uid="{3E030770-4413-4548-8147-AC5C2D07BFF6}" name="Time" totalsRowLabel="Total" dataDxfId="391" totalsRowDxfId="390"/>
    <tableColumn id="2" xr3:uid="{B6F3FF50-4A78-40DD-8BEB-F0936850C61C}" name="Car Traffic Share" dataDxfId="389" totalsRowDxfId="388" dataCellStyle="Input"/>
    <tableColumn id="3" xr3:uid="{48054B3F-BC0F-4DE6-BCB9-3A5482993ED2}" name="Truck Traffic Share" dataDxfId="387" totalsRowDxfId="386" dataCellStyle="Input"/>
    <tableColumn id="4" xr3:uid="{1A13CB20-226D-4DC9-A29D-D3A712CBB1E2}" name="Car Traffic" totalsRowFunction="sum" dataDxfId="385" totalsRowDxfId="384" dataCellStyle="Comma">
      <calculatedColumnFormula>C11*Table3C.2_57_Delay_NB107[[#This Row],[Car Traffic Share]]</calculatedColumnFormula>
    </tableColumn>
    <tableColumn id="5" xr3:uid="{EAD9B563-AE66-4A1E-8746-33B8FA943F58}" name="Car Delay _x000a_(hrs)" totalsRowFunction="sum" totalsRowDxfId="383" dataCellStyle="Comma">
      <calculatedColumnFormula>H11*Table3C.2_57_Delay_NB107[[#This Row],[Car Traffic]]</calculatedColumnFormula>
    </tableColumn>
    <tableColumn id="6" xr3:uid="{EA0FCC12-E971-4021-93FE-546AF2477D07}" name="Truck Traffic" totalsRowFunction="sum" totalsRowDxfId="382" dataCellStyle="Comma">
      <calculatedColumnFormula>C11*Table3C.2_57_Delay_NB107[[#This Row],[Truck Traffic Share]]</calculatedColumnFormula>
    </tableColumn>
    <tableColumn id="7" xr3:uid="{63BCEF1B-133F-48AC-92D0-37E1EBF928D6}" name="Truck Delay (hrs)" totalsRowFunction="sum" totalsRowDxfId="381" dataCellStyle="Comma">
      <calculatedColumnFormula>H11*Table3C.2_57_Delay_NB107[[#This Row],[Truck Traffic]]</calculatedColumnFormula>
    </tableColumn>
  </tableColumns>
  <tableStyleInfo name="TableStyleLight11"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 xr:uid="{1CE9DFBC-77BD-4E38-8E5F-1EC37DC96D26}" name="Table3C.4_57Delay_PA108" displayName="Table3C.4_57Delay_PA108" ref="B70:H86" totalsRowCount="1" headerRowDxfId="380" dataDxfId="379">
  <autoFilter ref="B70:H85" xr:uid="{81A461C4-51BB-400A-B285-CD5C0B2D9918}"/>
  <tableColumns count="7">
    <tableColumn id="1" xr3:uid="{95B5A75D-F671-4EC7-A68C-FF636E89A77A}" name="Time" totalsRowLabel="Total" dataDxfId="378" totalsRowDxfId="377"/>
    <tableColumn id="2" xr3:uid="{76BE763C-B167-489D-BB95-5CE6B1D4A1E6}" name="Car Traffic Share" dataDxfId="376" totalsRowDxfId="375" dataCellStyle="Input"/>
    <tableColumn id="3" xr3:uid="{5D371DDB-9406-4DDB-A938-71C4C0EA3BF6}" name="Truck Traffic Share" dataDxfId="374" totalsRowDxfId="373" dataCellStyle="Input"/>
    <tableColumn id="4" xr3:uid="{275B5F67-BAD3-4257-8BAB-CB31C9F375A5}" name="Car Traffic" totalsRowFunction="sum" dataDxfId="372" totalsRowDxfId="371" dataCellStyle="Comma">
      <calculatedColumnFormula>C51*Table3C.4_57Delay_PA108[[#This Row],[Car Traffic Share]]</calculatedColumnFormula>
    </tableColumn>
    <tableColumn id="5" xr3:uid="{AD29C83B-E64E-4FBC-8DD4-F37ACAFB7118}" name="Car Delay _x000a_(hrs)" totalsRowFunction="sum" totalsRowDxfId="370" dataCellStyle="Comma">
      <calculatedColumnFormula>H51*Table3C.4_57Delay_PA108[[#This Row],[Car Traffic]]</calculatedColumnFormula>
    </tableColumn>
    <tableColumn id="6" xr3:uid="{4996CBDC-3694-447A-88AB-256666E1F7D9}" name="Truck Traffic" totalsRowFunction="sum" totalsRowDxfId="369" dataCellStyle="Comma">
      <calculatedColumnFormula>C51*Table3C.4_57Delay_PA108[[#This Row],[Truck Traffic Share]]</calculatedColumnFormula>
    </tableColumn>
    <tableColumn id="7" xr3:uid="{50B964B0-8B25-40FE-8956-DE02C69BFD10}" name="Truck Delay (hrs)" totalsRowFunction="sum" totalsRowDxfId="368" dataCellStyle="Comma">
      <calculatedColumnFormula>H51*Table3C.4_57Delay_PA108[[#This Row],[Truck Traffic]]</calculatedColumnFormula>
    </tableColumn>
  </tableColumns>
  <tableStyleInfo name="TableStyleLight11"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 xr:uid="{14ACFFBB-99C3-46A7-A633-3CD7B837977C}" name="Table3C.7_57TTSMoney109" displayName="Table3C.7_57TTSMoney109" ref="B90:H106" totalsRowCount="1" headerRowDxfId="367" dataDxfId="366">
  <autoFilter ref="B90:H105" xr:uid="{8F0E8748-4A9B-4AF4-B254-F63994A79242}"/>
  <tableColumns count="7">
    <tableColumn id="1" xr3:uid="{5909993E-74D5-4220-82D1-60F834709F32}" name="Time" totalsRowLabel="Total" dataDxfId="365" totalsRowDxfId="364"/>
    <tableColumn id="2" xr3:uid="{A6BCD730-6EF3-4B74-99C5-0D6FD67FE4D7}" name="Car Delay Savings (hrs)" totalsRowFunction="sum" dataDxfId="363" totalsRowDxfId="362" dataCellStyle="Comma">
      <calculatedColumnFormula>F31-F71</calculatedColumnFormula>
    </tableColumn>
    <tableColumn id="3" xr3:uid="{884D6E6A-6534-446F-90EF-2B5D7CD91D1D}" name="Truck Delay Savings (hrs)" totalsRowFunction="sum" dataDxfId="361" totalsRowDxfId="360" dataCellStyle="Comma">
      <calculatedColumnFormula>H31-H71</calculatedColumnFormula>
    </tableColumn>
    <tableColumn id="4" xr3:uid="{25BE35ED-DD69-4C59-BA5A-AFF859E29DB9}" name="Car Savings Benefits (Daily)" totalsRowFunction="sum" totalsRowDxfId="359" dataCellStyle="Currency" totalsRowCellStyle="Currency">
      <calculatedColumnFormula>Table3C.7_57TTSMoney109[[#This Row],[Car Delay Savings (hrs)]]*All_Purpose_Travel*Passenger_Vehicles_Occupancy</calculatedColumnFormula>
    </tableColumn>
    <tableColumn id="5" xr3:uid="{F2CDF506-1B71-47D0-89CB-3BC4705C8F49}" name="Truck Savings Benefits (Daily)" totalsRowFunction="sum" totalsRowDxfId="358" dataCellStyle="Currency" totalsRowCellStyle="Currency">
      <calculatedColumnFormula>Table3C.7_57TTSMoney109[[#This Row],[Truck Delay Savings (hrs)]]*Truck_Travel</calculatedColumnFormula>
    </tableColumn>
    <tableColumn id="6" xr3:uid="{E88248E0-887C-44EE-9BB3-880884FAD965}" name="Total Benefits, Low (270 Days)" totalsRowFunction="sum" totalsRowDxfId="357" dataCellStyle="Currency" totalsRowCellStyle="Currency">
      <calculatedColumnFormula>(Table3C.7_57TTSMoney109[[#This Row],[Truck Savings Benefits (Daily)]]+Table3C.7_57TTSMoney109[[#This Row],[Car Savings Benefits (Daily)]])*270</calculatedColumnFormula>
    </tableColumn>
    <tableColumn id="7" xr3:uid="{636B463E-23B8-483F-8D43-D0CA87E40CDD}" name="Total Benefits, High (365 Days)" totalsRowFunction="sum" totalsRowDxfId="356" dataCellStyle="Currency" totalsRowCellStyle="Currency">
      <calculatedColumnFormula>(Table3C.7_57TTSMoney109[[#This Row],[Car Savings Benefits (Daily)]]+Table3C.7_57TTSMoney109[[#This Row],[Truck Savings Benefits (Daily)]])*365</calculatedColumnFormula>
    </tableColumn>
  </tableColumns>
  <tableStyleInfo name="TableStyleLight11"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2ADFAD65-B55C-47B6-A1CF-585E93EA59AE}" name="Table4.1_ForegoneSummary" displayName="Table4.1_ForegoneSummary" ref="D10:F15" totalsRowCount="1" headerRowDxfId="355">
  <autoFilter ref="D10:F14" xr:uid="{2ADFAD65-B55C-47B6-A1CF-585E93EA59AE}"/>
  <tableColumns count="3">
    <tableColumn id="1" xr3:uid="{4EBE0F5F-27FD-44CB-A6AE-0895D9BFC59F}" name="Expense" totalsRowLabel="Total" dataDxfId="354" totalsRowDxfId="353"/>
    <tableColumn id="2" xr3:uid="{DE8AB75A-3333-426B-8695-797345935BAB}" name="Annual Average" totalsRowFunction="sum" dataDxfId="352" totalsRowDxfId="351" dataCellStyle="Currency">
      <calculatedColumnFormula>Table4.1_ForegoneSummary[[#This Row],[30-Year Total]]/30</calculatedColumnFormula>
    </tableColumn>
    <tableColumn id="3" xr3:uid="{3EC4D2E8-35EE-4A7E-9D08-885363FE5CB5}" name="30-Year Total" totalsRowFunction="sum" dataDxfId="350" totalsRowDxfId="349"/>
  </tableColumns>
  <tableStyleInfo name="TableStyleLight14"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C68AC387-D6E5-425F-8353-B72325B8DC54}" name="Table56" displayName="Table56" ref="B14:F26" totalsRowShown="0" headerRowDxfId="348">
  <autoFilter ref="B14:F26" xr:uid="{C68AC387-D6E5-425F-8353-B72325B8DC54}"/>
  <tableColumns count="5">
    <tableColumn id="1" xr3:uid="{87150C05-9ACE-48D9-80D6-6446912C1C45}" name="Cost Type"/>
    <tableColumn id="2" xr3:uid="{D7AA7911-B636-4F64-B2D5-A798182CC552}" name="Square Feet/Each"/>
    <tableColumn id="3" xr3:uid="{4EE32214-ACD0-4DA6-9408-60A371D18370}" name="Unit Cost/EA/SF"/>
    <tableColumn id="5" xr3:uid="{2DCD67D8-0941-4E1A-A19B-615EA3A35E62}" name="Iterations"/>
    <tableColumn id="4" xr3:uid="{B9F43134-8647-4B9D-81AA-C75FB3FDA27D}" name="Total Cost" dataDxfId="347">
      <calculatedColumnFormula>Table56[[#This Row],[Iterations]]*Table56[[#This Row],[Unit Cost/EA/SF]]*Table56[[#This Row],[Square Feet/Each]]</calculatedColumnFormula>
    </tableColumn>
  </tableColumns>
  <tableStyleInfo name="TableStyleLight11"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AFE2E910-B0A7-47C7-A7BD-C166BD37DCBA}" name="Table57" displayName="Table57" ref="B30:F42" totalsRowShown="0" headerRowDxfId="346">
  <autoFilter ref="B30:F42" xr:uid="{AFE2E910-B0A7-47C7-A7BD-C166BD37DCBA}"/>
  <tableColumns count="5">
    <tableColumn id="1" xr3:uid="{5151F639-FFBE-4D21-AF08-0599F988BED3}" name="Cost Type"/>
    <tableColumn id="2" xr3:uid="{665D82E0-F66A-477D-BEEE-FD2DE6DB9709}" name="Square Feet/Each"/>
    <tableColumn id="3" xr3:uid="{AFBBBFCB-D3A2-4E31-B56E-A32C9C67E4AB}" name="Unit Cost/EA/SF"/>
    <tableColumn id="5" xr3:uid="{0B5C0504-9F51-46FF-B2B5-48F2F6EF982D}" name="Iterations"/>
    <tableColumn id="4" xr3:uid="{1C903AFE-9C1B-4326-A262-E888E9BF6368}" name="Total Cost" dataDxfId="345">
      <calculatedColumnFormula>Table57[[#This Row],[Iterations]]*Table57[[#This Row],[Unit Cost/EA/SF]]*Table57[[#This Row],[Square Feet/Each]]</calculatedColumnFormula>
    </tableColumn>
  </tableColumns>
  <tableStyleInfo name="TableStyleLight11"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80A52293-415E-4DCF-A57D-B602AE831031}" name="Table58" displayName="Table58" ref="B46:F53" totalsRowShown="0" headerRowDxfId="344">
  <autoFilter ref="B46:F53" xr:uid="{80A52293-415E-4DCF-A57D-B602AE831031}"/>
  <tableColumns count="5">
    <tableColumn id="1" xr3:uid="{3290C3E5-72C8-4725-AC37-E4D8BA7F9BCC}" name="Cost Type"/>
    <tableColumn id="2" xr3:uid="{7AE88E76-5F38-4F6B-BE0A-33847F246FED}" name="Square Feet/Each"/>
    <tableColumn id="3" xr3:uid="{4D906ADA-84D8-4D80-BB5E-B9815617238A}" name="Unit Cost/EA/SF"/>
    <tableColumn id="5" xr3:uid="{F885BBD4-27C5-45B4-8F40-C5F95D85B7DB}" name="Iterations"/>
    <tableColumn id="4" xr3:uid="{CC01FEA3-F6AA-4020-95E6-191056F97BF5}" name="Total Cost" dataDxfId="343" dataCellStyle="Currency">
      <calculatedColumnFormula>Table58[[#This Row],[Iterations]]*Table58[[#This Row],[Unit Cost/EA/SF]]*Table58[[#This Row],[Square Feet/Each]]</calculatedColumnFormula>
    </tableColumn>
  </tableColumns>
  <tableStyleInfo name="TableStyleLight11"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0FEB9651-AF70-4085-8EF2-4884480B2D9D}" name="Table60" displayName="Table60" ref="B57:D65" totalsRowShown="0" headerRowDxfId="342">
  <autoFilter ref="B57:D65" xr:uid="{0FEB9651-AF70-4085-8EF2-4884480B2D9D}"/>
  <tableColumns count="3">
    <tableColumn id="1" xr3:uid="{2FDE57D9-B45F-4005-B7FE-4991B881D49C}" name="Parameter" dataDxfId="341"/>
    <tableColumn id="2" xr3:uid="{B82366DD-8FF3-4797-B3A7-A2F7C7CB0236}" name="Value"/>
    <tableColumn id="3" xr3:uid="{27514010-89F6-4558-ABED-6FF6DE314E4E}" name="Unit" dataDxfId="340"/>
  </tableColumns>
  <tableStyleInfo name="TableStyleLight11"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73CF49E0-55E4-4525-BD26-96383D5BE10E}" name="Table4.1_ForegoneSummary63" displayName="Table4.1_ForegoneSummary63" ref="C10:G13" totalsRowCount="1" headerRowDxfId="339" dataDxfId="338" totalsRowDxfId="337">
  <autoFilter ref="C10:G12" xr:uid="{2ADFAD65-B55C-47B6-A1CF-585E93EA59AE}"/>
  <tableColumns count="5">
    <tableColumn id="1" xr3:uid="{3353D8E1-CB1A-4F58-8788-01FC20126630}" name="Facility Type" totalsRowLabel="Total" dataDxfId="336" totalsRowDxfId="335"/>
    <tableColumn id="2" xr3:uid="{62FCAB55-242E-437E-A3A5-E0A73D63061C}" name="Annual Ridership" totalsRowFunction="sum" dataDxfId="334" totalsRowDxfId="333" dataCellStyle="Currency" totalsRowCellStyle="Comma"/>
    <tableColumn id="3" xr3:uid="{F2CEDECF-E1B3-4A93-AABC-BAE493D7DB43}" name="Annual Benefit" totalsRowFunction="sum" dataDxfId="332" totalsRowDxfId="331"/>
    <tableColumn id="5" xr3:uid="{2E47CC59-253A-4699-9352-2D2A70AB0D82}" name="30-Year Total" totalsRowFunction="sum" dataDxfId="330" totalsRowDxfId="329"/>
    <tableColumn id="4" xr3:uid="{94118848-A9D7-471C-8A1B-CFF2CA169F98}" name="Notes" dataDxfId="328" totalsRowDxfId="327"/>
  </tableColumns>
  <tableStyleInfo name="TableStyleLight14"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522AF2D9-9072-4F42-8AF3-421644FAF8DA}" name="Table63" displayName="Table63" ref="A14:I24" totalsRowShown="0" headerRowDxfId="326" dataDxfId="325" tableBorderDxfId="324">
  <autoFilter ref="A14:I24" xr:uid="{522AF2D9-9072-4F42-8AF3-421644FAF8DA}"/>
  <tableColumns count="9">
    <tableColumn id="1" xr3:uid="{E2F7A525-FA3A-47EF-BDF9-0C623582C4EF}" name="Stop ID" dataDxfId="323"/>
    <tableColumn id="2" xr3:uid="{F2EAE492-8467-4B57-81AA-172EB8BB3D48}" name="Name" dataDxfId="322"/>
    <tableColumn id="3" xr3:uid="{12757F4A-325F-429D-970C-14A3AB8275B2}" name="Daily Ridership on" dataDxfId="321"/>
    <tableColumn id="4" xr3:uid="{CA18E81D-87EA-43D9-A0B6-F02CA3527F7B}" name="Daily Ridership off" dataDxfId="320"/>
    <tableColumn id="5" xr3:uid="{4B7A6E3E-D394-4724-8A4F-DF381A2D79B9}" name="Latitude" dataDxfId="319"/>
    <tableColumn id="6" xr3:uid="{C0C575BD-9777-42DA-9B0B-60F2AAE79CA8}" name="Longitude" dataDxfId="318"/>
    <tableColumn id="7" xr3:uid="{3D7752A6-9B12-49BA-924A-E2E7F9F95B72}" name="Shelter and Pad" dataDxfId="317"/>
    <tableColumn id="8" xr3:uid="{F4146A1E-87B6-45A1-8A89-94DF6DA1175C}" name="Seating" dataDxfId="316"/>
    <tableColumn id="9" xr3:uid="{EF421331-D655-4DC2-AC0B-D18048DD18A2}" name="Notes" dataDxfId="315"/>
  </tableColumns>
  <tableStyleInfo name="TableStyleLight11"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444A627C-1DA8-4F68-953E-2362DDB93618}" name="Table4.1_ForegoneSummary6365" displayName="Table4.1_ForegoneSummary6365" ref="C10:G14" totalsRowCount="1" headerRowDxfId="314" dataDxfId="313" totalsRowDxfId="312">
  <autoFilter ref="C10:G13" xr:uid="{2ADFAD65-B55C-47B6-A1CF-585E93EA59AE}"/>
  <tableColumns count="5">
    <tableColumn id="1" xr3:uid="{7ED2F802-5B22-46CA-9106-D66F6F2CF19E}" name="Improvement" totalsRowLabel="Total" dataDxfId="311" totalsRowDxfId="310"/>
    <tableColumn id="2" xr3:uid="{16A4569F-C1A2-4173-99B9-7E6CB7431D54}" name="Annual Users Affected" totalsRowFunction="sum" dataDxfId="309" totalsRowDxfId="308" dataCellStyle="Comma" totalsRowCellStyle="Comma"/>
    <tableColumn id="3" xr3:uid="{BA9F0BE9-078B-424A-AB7A-2985C5D861A0}" name="Annual Benefit" totalsRowFunction="sum" dataDxfId="307" totalsRowDxfId="306"/>
    <tableColumn id="5" xr3:uid="{9EE4EC90-3FD2-4BF0-8EF6-9E21C280B08E}" name="30-Year Total" totalsRowFunction="sum" dataDxfId="305" totalsRowDxfId="304"/>
    <tableColumn id="4" xr3:uid="{DE629B74-049F-40D7-9296-096810C2246F}" name="Notes" dataDxfId="303" totalsRowDxfId="302"/>
  </tableColumns>
  <tableStyleInfo name="TableStyleLight14"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E31E1284-3360-4CAD-85ED-192C4CA6B877}" name="Table65" displayName="Table65" ref="B13:F15" totalsRowCount="1" headerRowDxfId="301" dataDxfId="300">
  <autoFilter ref="B13:F14" xr:uid="{E31E1284-3360-4CAD-85ED-192C4CA6B877}"/>
  <tableColumns count="5">
    <tableColumn id="1" xr3:uid="{73CA8128-0E99-413D-A41A-320A2E7B5845}" name="Improvement Type - Sidewalk Improvements" totalsRowLabel="Total Per Year" dataDxfId="299" totalsRowDxfId="298">
      <calculatedColumnFormula>'Appendix A. Parameter Values'!B83</calculatedColumnFormula>
    </tableColumn>
    <tableColumn id="3" xr3:uid="{F17BC1F9-24E6-48FC-A1E7-5C92AC335FC6}" name="Additional Sidewalk Width (ft)" dataDxfId="297" totalsRowDxfId="296"/>
    <tableColumn id="5" xr3:uid="{6846049E-E4D4-4943-A89E-D628324AAFA9}" name="Sidewalk Length Widened (mi)" dataDxfId="295" totalsRowDxfId="294"/>
    <tableColumn id="6" xr3:uid="{F2EC6939-27BA-49A0-9639-C89EF7CA4B23}" name="# Daily Users" totalsRowFunction="custom" dataDxfId="293" totalsRowDxfId="292" totalsRowCellStyle="Comma">
      <totalsRowFormula>SUBTOTAL(109,Table65['# Daily Users])*365</totalsRowFormula>
    </tableColumn>
    <tableColumn id="7" xr3:uid="{24C16B08-AF78-4BA8-B736-3BC573D62669}" name="Benefit per Mile Walked per Day" totalsRowFunction="custom" dataDxfId="291" totalsRowDxfId="290">
      <calculatedColumnFormula>Table65[[#This Row],[Additional Sidewalk Width (ft)]]*Table65[[#This Row],[Sidewalk Length Widened (mi)]]*Table65[[#This Row],['# Daily Users]]*'Appendix A. Parameter Values'!C83</calculatedColumnFormula>
      <totalsRowFormula>SUBTOTAL(109,Table65[Benefit per Mile Walked per Day])*365</totalsRowFormula>
    </tableColumn>
  </tableColumns>
  <tableStyleInfo name="TableStyleLight11"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1D9BACC8-2F7C-40D5-803E-E78C28B5A0F4}" name="Table66" displayName="Table66" ref="B19:E22" totalsRowCount="1" headerRowDxfId="289" dataDxfId="288">
  <autoFilter ref="B19:E21" xr:uid="{1D9BACC8-2F7C-40D5-803E-E78C28B5A0F4}"/>
  <tableColumns count="4">
    <tableColumn id="1" xr3:uid="{E5642189-B504-4280-BEB8-CE995958235E}" name="Improvement Type - At-Grade Crossing Improvements for Existing Users" totalsRowLabel="Total Per Year" dataDxfId="287" totalsRowDxfId="286">
      <calculatedColumnFormula>'Appendix A. Parameter Values'!B87</calculatedColumnFormula>
    </tableColumn>
    <tableColumn id="2" xr3:uid="{9014910E-8927-4C88-B4C0-E64D1183574D}" name="Value per Use" dataDxfId="285" totalsRowDxfId="284">
      <calculatedColumnFormula>'Appendix A. Parameter Values'!C87</calculatedColumnFormula>
    </tableColumn>
    <tableColumn id="3" xr3:uid="{A9939923-1C3C-4826-BFE2-C67799B22125}" name="# Existing Daily Users" totalsRowFunction="custom" dataDxfId="283" totalsRowDxfId="282" totalsRowCellStyle="Comma">
      <calculatedColumnFormula>'9. Ped &amp; Cyclist Count Backup'!D14+'9. Ped &amp; Cyclist Count Backup'!D15</calculatedColumnFormula>
      <totalsRowFormula>SUBTOTAL(109,Table66['# Existing Daily Users])*365</totalsRowFormula>
    </tableColumn>
    <tableColumn id="4" xr3:uid="{8628B35B-5C3C-4FDB-9646-9F586E902028}" name="Benefit per Signalized Pedestrian Crossing Use per Day" totalsRowFunction="custom" dataDxfId="281" totalsRowDxfId="280">
      <calculatedColumnFormula>C20*D20</calculatedColumnFormula>
      <totalsRowFormula>SUBTOTAL(109,Table66[Benefit per Signalized Pedestrian Crossing Use per Day])*365</totalsRowFormula>
    </tableColumn>
  </tableColumns>
  <tableStyleInfo name="TableStyleLight11"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E4107C3A-9830-4DF9-9E12-8DB04236AA90}" name="Table67" displayName="Table67" ref="B26:E29" totalsRowCount="1" headerRowDxfId="279" dataDxfId="278">
  <autoFilter ref="B26:E28" xr:uid="{E4107C3A-9830-4DF9-9E12-8DB04236AA90}"/>
  <tableColumns count="4">
    <tableColumn id="1" xr3:uid="{87AE5326-BACB-476F-8C90-EB5C60835B0D}" name="Improvement Type - At-Grade Crossing Improvements for Additional Users" totalsRowLabel="Total Per Year" dataDxfId="277" totalsRowDxfId="276">
      <calculatedColumnFormula>'Appendix A. Parameter Values'!B87</calculatedColumnFormula>
    </tableColumn>
    <tableColumn id="2" xr3:uid="{002C8264-A0E8-4EC1-833F-4529C26ED6BE}" name="Value per Use" dataDxfId="275" totalsRowDxfId="274">
      <calculatedColumnFormula>'Appendix A. Parameter Values'!C87</calculatedColumnFormula>
    </tableColumn>
    <tableColumn id="3" xr3:uid="{00FD9E85-99F2-47B1-854C-A7E841A3DDE3}" name="# Additional  Daily Users" totalsRowFunction="custom" dataDxfId="273" totalsRowCellStyle="Comma">
      <calculatedColumnFormula>'9. Ped &amp; Cyclist Count Backup'!D38</calculatedColumnFormula>
      <totalsRowFormula>SUBTOTAL(109,Table67['# Additional  Daily Users])*365</totalsRowFormula>
    </tableColumn>
    <tableColumn id="4" xr3:uid="{371DE4A1-0E82-4F3E-BBE1-E04DF8B0501A}" name="Benefit per Signalized Pedestrian Crossing Use per Day" totalsRowFunction="custom" dataDxfId="272" totalsRowDxfId="271">
      <calculatedColumnFormula>C27*D27</calculatedColumnFormula>
      <totalsRowFormula>SUBTOTAL(109,Table67[Benefit per Signalized Pedestrian Crossing Use per Day])*365</totalsRowFormula>
    </tableColumn>
  </tableColumns>
  <tableStyleInfo name="TableStyleLight11"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809615E8-D3BC-4A96-8034-4DD2CB7E6F2C}" name="Table68" displayName="Table68" ref="B15:H19" totalsRowCount="1" headerRowDxfId="270" dataDxfId="269" totalsRowDxfId="268">
  <autoFilter ref="B15:H18" xr:uid="{809615E8-D3BC-4A96-8034-4DD2CB7E6F2C}"/>
  <tableColumns count="7">
    <tableColumn id="1" xr3:uid="{7922FE64-E985-4C52-9177-AB407BF24E69}" name="Improvement Type" totalsRowLabel="Total" dataDxfId="267" totalsRowDxfId="266"/>
    <tableColumn id="2" xr3:uid="{7148F42B-BF2E-442D-87C0-5EEFA11A75B5}" name="Segment - Route 113 Between" dataDxfId="265" totalsRowDxfId="264"/>
    <tableColumn id="3" xr3:uid="{2CB6E524-704A-48ED-B878-0CD12C86179D}" name="Segment Length (mi)" totalsRowFunction="sum" dataDxfId="263" totalsRowDxfId="262"/>
    <tableColumn id="4" xr3:uid="{ABDFF63A-C835-42CA-96CB-60137BCE6CB4}" name="# of Existing Cyclists" totalsRowFunction="sum" dataDxfId="261" totalsRowDxfId="260"/>
    <tableColumn id="5" xr3:uid="{D374FBE8-0C4F-48C7-A4FA-3CE029AE61DD}" name="Value per Cycling Mile" totalsRowFunction="custom" dataDxfId="259" totalsRowDxfId="258" totalsRowCellStyle="Currency">
      <totalsRowFormula>SUMPRODUCT(Table68['# of Existing Cyclists],Table68[Value per Cycling Mile])/Table68[[#Totals],['# of Existing Cyclists]]</totalsRowFormula>
    </tableColumn>
    <tableColumn id="6" xr3:uid="{6652758E-509F-4AE9-8C5D-1AEC834E7235}" name="Benefits to Existing Users Daily" totalsRowFunction="sum" dataDxfId="257" totalsRowDxfId="256"/>
    <tableColumn id="7" xr3:uid="{573074CE-0EC6-411E-8199-6EC5BBD0ABE3}" name="Annual Benefits " totalsRowFunction="sum" dataDxfId="255" totalsRowDxfId="254"/>
  </tableColumns>
  <tableStyleInfo name="TableStyleLight9"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47C7D4B4-63CE-4F6D-820F-21C58FE0E847}" name="Table69" displayName="Table69" ref="B23:H27" totalsRowCount="1" headerRowDxfId="253" dataDxfId="252" totalsRowDxfId="251">
  <autoFilter ref="B23:H26" xr:uid="{47C7D4B4-63CE-4F6D-820F-21C58FE0E847}"/>
  <tableColumns count="7">
    <tableColumn id="1" xr3:uid="{5C1FAA26-422B-4251-8EBC-698E63BA4C2F}" name="Improvement Type" totalsRowLabel="Total" dataDxfId="250" totalsRowDxfId="249"/>
    <tableColumn id="2" xr3:uid="{9337274D-FDC3-4CEA-BD5F-292162EA36EA}" name="Segment - Route 113 Between" dataDxfId="248" totalsRowDxfId="247"/>
    <tableColumn id="3" xr3:uid="{EE1D65FD-CE81-4061-80FA-758CBAB70ED5}" name="Segment Length (mi)" totalsRowFunction="sum" dataDxfId="246" totalsRowDxfId="245"/>
    <tableColumn id="4" xr3:uid="{49809B5A-A6F9-481A-811C-FC746D86C0A9}" name="# of Induced  Cyclists" totalsRowFunction="sum" dataDxfId="244" totalsRowDxfId="243"/>
    <tableColumn id="5" xr3:uid="{5FBCC928-37B7-4353-AD8C-1F1012B03EED}" name="Value per Cycling Mile" totalsRowFunction="custom" dataDxfId="242" totalsRowDxfId="241" totalsRowCellStyle="Currency">
      <totalsRowFormula>SUMPRODUCT(Table69['# of Induced  Cyclists],Table69[Value per Cycling Mile])/Table69[[#Totals],['# of Induced  Cyclists]]</totalsRowFormula>
    </tableColumn>
    <tableColumn id="6" xr3:uid="{124D853D-9F9B-4599-85E5-A45FF1FB948D}" name="Benefits to Existing Users Daily" totalsRowFunction="sum" dataDxfId="240" totalsRowDxfId="239"/>
    <tableColumn id="7" xr3:uid="{A7F192CE-AF98-42C9-858B-7939C73B45B5}" name="Annual Benefits" totalsRowFunction="sum" dataDxfId="238" totalsRowDxfId="237"/>
  </tableColumns>
  <tableStyleInfo name="TableStyleLight9"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97ADCD25-E8C7-40B6-8E5C-8397706E39A8}" name="Table70" displayName="Table70" ref="B31:I34" totalsRowCount="1" headerRowDxfId="236" dataDxfId="235" totalsRowDxfId="234">
  <autoFilter ref="B31:I33" xr:uid="{97ADCD25-E8C7-40B6-8E5C-8397706E39A8}"/>
  <tableColumns count="8">
    <tableColumn id="1" xr3:uid="{703B7E60-D6D9-4913-9DEC-0880863977F5}" name="User Type" totalsRowLabel="Total" dataDxfId="233" totalsRowDxfId="232"/>
    <tableColumn id="2" xr3:uid="{712E10F5-110C-4286-AA08-FAD5D1C09BB8}" name="Segment - Route 113 Between" dataDxfId="231" totalsRowDxfId="230"/>
    <tableColumn id="3" xr3:uid="{C9098159-AE48-4656-A88C-AA1A03CCB5CF}" name="Segment Length (mi)" dataDxfId="229" totalsRowDxfId="228">
      <calculatedColumnFormula>Table69[[#Totals],[Segment Length (mi)]]</calculatedColumnFormula>
    </tableColumn>
    <tableColumn id="4" xr3:uid="{F00E05C4-BE94-4294-8129-3DE6EF0278EB}" name="# of Induced  Cyclists" dataDxfId="227" totalsRowDxfId="226">
      <calculatedColumnFormula>Table68[[#Totals],['# of Existing Cyclists]]</calculatedColumnFormula>
    </tableColumn>
    <tableColumn id="5" xr3:uid="{3E18B84F-AE6B-4F71-975B-32551DC249F7}" name="Value per Cycling Mile" dataDxfId="225" totalsRowDxfId="224">
      <calculatedColumnFormula>Table68[[#Totals],[Value per Cycling Mile]]</calculatedColumnFormula>
    </tableColumn>
    <tableColumn id="6" xr3:uid="{613038CA-A240-43A9-B59B-D7E49605C179}" name="Benefits to Existing Users Daily" dataDxfId="223" totalsRowDxfId="222">
      <calculatedColumnFormula>Table68[[#Totals],[Benefits to Existing Users Daily]]</calculatedColumnFormula>
    </tableColumn>
    <tableColumn id="7" xr3:uid="{A1368548-FC48-4AFB-B3A6-C70FF6C3B142}" name="Annual Benefits" totalsRowFunction="sum" dataDxfId="221" totalsRowDxfId="220"/>
    <tableColumn id="8" xr3:uid="{0F1EB6A0-BE4A-4361-A21C-894A555CF717}" name="30-Year Total" totalsRowFunction="sum" dataDxfId="219" totalsRowDxfId="218">
      <calculatedColumnFormula>Table70[[#This Row],[Annual Benefits]]*30</calculatedColumnFormula>
    </tableColumn>
  </tableColumns>
  <tableStyleInfo name="TableStyleLight14"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17D5D5C6-8C5C-4E28-BC46-06216B8E0592}" name="Table71" displayName="Table71" ref="A13:I16" totalsRowCount="1" headerRowDxfId="217" headerRowCellStyle="Percent">
  <autoFilter ref="A13:I15" xr:uid="{17D5D5C6-8C5C-4E28-BC46-06216B8E0592}"/>
  <tableColumns count="9">
    <tableColumn id="1" xr3:uid="{0380E31F-6856-4720-9EDD-30A1DFFB7E0D}" name="Mortality Reduction Benefits" totalsRowLabel="Total"/>
    <tableColumn id="2" xr3:uid="{8C3E2240-4477-4209-A0AD-B4F19CCCD04F}" name="# Induced Trips" dataDxfId="216" totalsRowDxfId="215"/>
    <tableColumn id="3" xr3:uid="{1CD016AD-F4D1-442B-A023-F3D060A22C8A}" name="% in Age Range" dataDxfId="214" totalsRowDxfId="213" dataCellStyle="Percent"/>
    <tableColumn id="4" xr3:uid="{ED2DB124-54EC-4426-BA19-B83E4492FA30}" name="% from Non-AT Modes" dataDxfId="212" totalsRowDxfId="211" dataCellStyle="Percent"/>
    <tableColumn id="5" xr3:uid="{C83464F5-37B2-41DE-868A-91BCE7C7632F}" name="# Induced Trips Meeting Criteria" dataDxfId="210"/>
    <tableColumn id="6" xr3:uid="{85AAADFD-7B7B-410A-BE36-C00547512EF8}" name="Value per Induced Trip" dataDxfId="209">
      <calculatedColumnFormula>'Appendix A. Parameter Values'!C101</calculatedColumnFormula>
    </tableColumn>
    <tableColumn id="7" xr3:uid="{5BC768F0-BCE3-4B00-B59C-1AF809C3DFE8}" name="Benefits to Induced Users Daily" totalsRowFunction="sum" dataDxfId="208" totalsRowDxfId="207">
      <calculatedColumnFormula>E14*F14</calculatedColumnFormula>
    </tableColumn>
    <tableColumn id="8" xr3:uid="{405D5BE6-946B-48EB-934F-A0FF89CA358B}" name="Annual Benefit" totalsRowFunction="sum" dataDxfId="206" totalsRowDxfId="205">
      <calculatedColumnFormula>Table71[[#This Row],[Benefits to Induced Users Daily]]*365</calculatedColumnFormula>
    </tableColumn>
    <tableColumn id="9" xr3:uid="{65E34006-2C9D-49AF-AD63-0A3429C369A3}" name="30-Year Total" totalsRowFunction="sum" dataDxfId="204" totalsRowDxfId="203">
      <calculatedColumnFormula>Table71[[#This Row],[Annual Benefit]]*30</calculatedColumnFormula>
    </tableColumn>
  </tableColumns>
  <tableStyleInfo name="TableStyleLight14"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 xr:uid="{82F31336-CEF8-4F61-8D8A-B956D4222BA1}" name="Table3D.1_DailyTTS_NB110" displayName="Table3D.1_DailyTTS_NB110" ref="B9:H46" totalsRowCount="1" headerRowDxfId="202" dataDxfId="201">
  <autoFilter ref="B9:H45" xr:uid="{0029E8CF-BB59-4C91-B952-3566A0C51A71}"/>
  <tableColumns count="7">
    <tableColumn id="1" xr3:uid="{8AF095A6-7B63-43C1-993E-73A36B2186AB}" name="Year" totalsRowLabel="Average" dataDxfId="200" totalsRowDxfId="199">
      <calculatedColumnFormula>First_Year+'Q_Appendix B. Project Info'!B20</calculatedColumnFormula>
    </tableColumn>
    <tableColumn id="2" xr3:uid="{C0FE3A4A-FDA9-4D79-BC9E-DC43F4B4CACD}" name="Total Traffic in Network (Veh/Day)" totalsRowFunction="average" dataDxfId="198" totalsRowDxfId="197" dataCellStyle="Comma">
      <calculatedColumnFormula array="1">IF(Table3D.1_DailyTTS_NB110[[#This Row],[Year]]=Closeout,Traffic_27NB,Traffic_27NB+(TrafChange_NB*(Table3D.1_DailyTTS_NB110[[#This Row],[Year]]-2027)))</calculatedColumnFormula>
    </tableColumn>
    <tableColumn id="3" xr3:uid="{84ECED3A-EC9C-4F57-A4DD-521AB83AC5D5}" name="Vehicle Miles Traveled (VMT/Day)" totalsRowFunction="average" dataDxfId="196" totalsRowDxfId="195" dataCellStyle="Comma">
      <calculatedColumnFormula array="1">IF(Table3D.1_DailyTTS_NB110[[#This Row],[Year]]=Closeout,VMT_27NB,VMT_27NB+(VMTChange_NB*(Table3D.1_DailyTTS_NB110[[#This Row],[Year]]-2027)))</calculatedColumnFormula>
    </tableColumn>
    <tableColumn id="4" xr3:uid="{951DF987-A60D-45BA-9275-509B4F736BC0}" name="Vehicle Hours Traveled (VHT/Day)" totalsRowFunction="average" dataDxfId="194" totalsRowDxfId="193" dataCellStyle="Comma">
      <calculatedColumnFormula array="1">IF(Table3D.1_DailyTTS_NB110[[#This Row],[Year]]=Closeout,VHT_27NB,VHT_27NB+(VHTChange_NB*(Table3D.1_DailyTTS_NB110[[#This Row],[Year]]-2027)))</calculatedColumnFormula>
    </tableColumn>
    <tableColumn id="5" xr3:uid="{BF0B4473-236B-4061-B9A1-7EC1217F839F}" name="Average Speed (MPH)" totalsRowFunction="average" dataDxfId="192" totalsRowDxfId="191" dataCellStyle="Comma">
      <calculatedColumnFormula array="1">IF(Table3D.1_DailyTTS_NB110[[#This Row],[Year]]=Closeout,MPH_27NB,MPH_27NB+(MPHChange_NB*(Table3D.1_DailyTTS_NB110[[#This Row],[Year]]-2027)))</calculatedColumnFormula>
    </tableColumn>
    <tableColumn id="6" xr3:uid="{50AB190E-F18A-47B2-A887-0F65DA5C9C8C}" name="Total Delay (hrs/day)" totalsRowFunction="average" dataDxfId="190" totalsRowDxfId="189" dataCellStyle="Comma">
      <calculatedColumnFormula array="1">IF(Table3D.1_DailyTTS_NB110[[#This Row],[Year]]=Closeout,DelayTot_27NB,DelayTot_27NB+(DelayTotChange_NB*(Table3D.1_DailyTTS_NB110[[#This Row],[Year]]-2027)))</calculatedColumnFormula>
    </tableColumn>
    <tableColumn id="7" xr3:uid="{54839B4C-A3E0-46E7-BC73-AA73422B7E85}" name="Average Delay (Hrs/Veh/Day)" totalsRowFunction="average" dataDxfId="188" totalsRowDxfId="187" dataCellStyle="Comma">
      <calculatedColumnFormula array="1">IF(Table3D.1_DailyTTS_NB110[[#This Row],[Year]]=Closeout,AvgDelay_27NB,AvgDelay_27NB+(DelayChange_NB*(Table3D.1_DailyTTS_NB110[[#This Row],[Year]]-2027)))</calculatedColumnFormula>
    </tableColumn>
  </tableColumns>
  <tableStyleInfo name="TableStyleLight11"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 xr:uid="{16019AAE-359A-473E-84AF-67EBFCFA547F}" name="Table3D.2_DailyTTS_PA111" displayName="Table3D.2_DailyTTS_PA111" ref="B50:H87" totalsRowCount="1" headerRowDxfId="186" dataDxfId="185">
  <autoFilter ref="B50:H86" xr:uid="{49B23DF5-8364-4689-B27A-EA6A092A431A}"/>
  <tableColumns count="7">
    <tableColumn id="1" xr3:uid="{CDFA33DA-4727-4637-9723-C5EE8E4A19BD}" name="Year" totalsRowLabel="Average" dataDxfId="184" totalsRowDxfId="183">
      <calculatedColumnFormula>First_Year+'Q_Appendix B. Project Info'!B20</calculatedColumnFormula>
    </tableColumn>
    <tableColumn id="2" xr3:uid="{D82A9767-39C6-4FBA-B6B5-3F20A0EEA200}" name="Total Traffic in Network (Veh/Day)" totalsRowFunction="average" dataDxfId="182" totalsRowDxfId="181" dataCellStyle="Comma">
      <calculatedColumnFormula array="1">IF(Table3D.2_DailyTTS_PA111[[#This Row],[Year]]=Closeout,Traffic_27PA,Traffic_27PA+(TrafChange_PA*(Table3D.2_DailyTTS_PA111[[#This Row],[Year]]-2027)))</calculatedColumnFormula>
    </tableColumn>
    <tableColumn id="3" xr3:uid="{C39D9598-BA41-4179-BCC8-A8D023CA1C9C}" name="Vehicle Miles Traveled (VMT/Day)" totalsRowFunction="average" dataDxfId="180" totalsRowDxfId="179" dataCellStyle="Comma">
      <calculatedColumnFormula array="1">IF(Table3D.2_DailyTTS_PA111[[#This Row],[Year]]=Closeout,VMT_27PA,VMT_27PA+(VMTChange_PA*(Table3D.2_DailyTTS_PA111[[#This Row],[Year]]-2027)))</calculatedColumnFormula>
    </tableColumn>
    <tableColumn id="4" xr3:uid="{0206DF5B-B370-4FE6-8DB0-9C49DDDC5219}" name="Vehicle Hours Traveled (VHT/Day)" totalsRowFunction="average" dataDxfId="178" totalsRowDxfId="177" dataCellStyle="Comma">
      <calculatedColumnFormula array="1">IF(Table3D.2_DailyTTS_PA111[[#This Row],[Year]]=Closeout,VHT_27PA,VHT_27PA+(VHTChange_PA*(Table3D.2_DailyTTS_PA111[[#This Row],[Year]]-2027)))</calculatedColumnFormula>
    </tableColumn>
    <tableColumn id="5" xr3:uid="{F9CDBF1D-B039-4A0F-853F-11BEE47115B2}" name="Average Speed (MPH)" totalsRowFunction="average" dataDxfId="176" totalsRowDxfId="175" dataCellStyle="Comma">
      <calculatedColumnFormula array="1">IF(Table3D.2_DailyTTS_PA111[[#This Row],[Year]]=Closeout,MPH_27PA,MPH_27PA+(MPHChange_PA*(Table3D.2_DailyTTS_PA111[[#This Row],[Year]]-2027)))</calculatedColumnFormula>
    </tableColumn>
    <tableColumn id="6" xr3:uid="{4221C4E3-55CC-4653-9826-FC09BFDF37FE}" name="Total Delay (hrs/day)" totalsRowFunction="average" dataDxfId="174" totalsRowDxfId="173" dataCellStyle="Comma">
      <calculatedColumnFormula array="1">IF(Table3D.2_DailyTTS_PA111[[#This Row],[Year]]=Closeout,DelayTot_27PA,DelayTot_27PA+(DelayTotChange_PA*(Table3D.2_DailyTTS_PA111[[#This Row],[Year]]-2027)))</calculatedColumnFormula>
    </tableColumn>
    <tableColumn id="7" xr3:uid="{F17EB5D8-4559-4B79-9FD6-2F7C90A8FD19}" name="Average Delay (Hrs/Veh/Day)" totalsRowFunction="average" dataDxfId="172" totalsRowDxfId="171" dataCellStyle="Comma">
      <calculatedColumnFormula array="1">IF(Table3D.2_DailyTTS_PA111[[#This Row],[Year]]=Closeout,AvgDelay_27PA,AvgDelay_27PA+(DelayChange_PA*(Table3D.2_DailyTTS_PA111[[#This Row],[Year]]-2027)))</calculatedColumnFormula>
    </tableColumn>
  </tableColumns>
  <tableStyleInfo name="TableStyleLight11"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 xr:uid="{E91E7031-00EE-4BF0-8065-229E016A4300}" name="Table3D.3_TTSMoneySum112" displayName="Table3D.3_TTSMoneySum112" ref="B91:H128" totalsRowCount="1" headerRowDxfId="170" dataDxfId="169">
  <autoFilter ref="B91:H127" xr:uid="{36697F77-A85D-4493-82E0-D986740F4729}"/>
  <tableColumns count="7">
    <tableColumn id="1" xr3:uid="{5BDC68B6-7685-4CE9-8BE9-BFB58869CDF7}" name="Year" totalsRowLabel="Total" dataDxfId="168" totalsRowDxfId="167">
      <calculatedColumnFormula>B91+1</calculatedColumnFormula>
    </tableColumn>
    <tableColumn id="2" xr3:uid="{86D09780-2CCA-4078-B4D4-716FC4701025}" name="Car Delay Savings (Hrs/Day)" totalsRowFunction="average" dataDxfId="166" totalsRowDxfId="165" dataCellStyle="Normal">
      <calculatedColumnFormula>IF(Table3D.3_TTSMoneySum112[[#This Row],[Year]]&gt;Closeout,((G10-G51)*0.94),"")</calculatedColumnFormula>
    </tableColumn>
    <tableColumn id="3" xr3:uid="{537A924C-D190-448B-863C-1C1A1D090DB5}" name="Truck Delay Savings (Hrs/Day)" totalsRowFunction="average" dataDxfId="164" totalsRowDxfId="163" dataCellStyle="Normal">
      <calculatedColumnFormula>IF(Table3D.3_TTSMoneySum112[[#This Row],[Year]]&gt;Closeout,((G10-G51)*0.06),"")</calculatedColumnFormula>
    </tableColumn>
    <tableColumn id="4" xr3:uid="{81F1601A-258F-4C7C-8309-623A5971938A}" name="Car Savings Benefits ($/Day)" totalsRowFunction="sum" dataDxfId="162" totalsRowDxfId="161" dataCellStyle="Currency">
      <calculatedColumnFormula>IFERROR((Table3D.3_TTSMoneySum112[[#This Row],[Car Delay Savings (Hrs/Day)]]*All_Purpose_Travel*Passenger_Vehicles_Occupancy),"")</calculatedColumnFormula>
    </tableColumn>
    <tableColumn id="5" xr3:uid="{96674F7A-5F3A-412F-B3B4-5F366C9152A1}" name="Truck Savings Benefits ($/Day)" totalsRowFunction="sum" dataDxfId="160" totalsRowDxfId="159" dataCellStyle="Currency">
      <calculatedColumnFormula>IFERROR((Table3D.3_TTSMoneySum112[[#This Row],[Truck Delay Savings (Hrs/Day)]]*Truck_Travel),"")</calculatedColumnFormula>
    </tableColumn>
    <tableColumn id="6" xr3:uid="{083F51CD-3B9B-4D79-B3B8-C174C77E0085}" name="Annual Benefits, Low (270 Days)" totalsRowFunction="sum" totalsRowDxfId="158" dataCellStyle="Currency">
      <calculatedColumnFormula>SUM(Table3D.3_TTSMoneySum112[[#This Row],[Car Savings Benefits ($/Day)]:[Truck Savings Benefits ($/Day)]])*270</calculatedColumnFormula>
    </tableColumn>
    <tableColumn id="7" xr3:uid="{72320D61-8882-48FC-97C7-8C1B686C5127}" name="Annual Benefits, High (365 Days)" totalsRowFunction="sum" totalsRowDxfId="157" dataCellStyle="Currency">
      <calculatedColumnFormula>SUM(Table3D.3_TTSMoneySum112[[#This Row],[Car Savings Benefits ($/Day)]:[Truck Savings Benefits ($/Day)]])*365</calculatedColumnFormula>
    </tableColumn>
  </tableColumns>
  <tableStyleInfo name="TableStyleLight11"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82BE5BC9-D265-4E37-A207-7AE6575E8CA9}" name="Table46" displayName="Table46" ref="B14:G21" totalsRowCount="1" headerRowDxfId="156" dataDxfId="155" totalsRowDxfId="154">
  <autoFilter ref="B14:G20" xr:uid="{82BE5BC9-D265-4E37-A207-7AE6575E8CA9}"/>
  <tableColumns count="6">
    <tableColumn id="1" xr3:uid="{B831F7C0-15D2-45CF-84D5-3AA717EA7A82}" name="Phase" totalsRowLabel="Total" dataDxfId="153" totalsRowDxfId="152"/>
    <tableColumn id="6" xr3:uid="{F3CC7709-99D1-41DF-B6E3-3C8A3D9A9BF0}" name="Task" dataDxfId="151" totalsRowDxfId="150"/>
    <tableColumn id="2" xr3:uid="{D52DD54D-0CAC-4ADB-8C62-899271055F20}" name="Federal Fiscal Year (FFY)" dataDxfId="149" totalsRowDxfId="148"/>
    <tableColumn id="3" xr3:uid="{30645AEC-391A-4606-AA5F-BB4D4012DEE4}" name="Expected Cost ($)" totalsRowFunction="sum" dataDxfId="147" totalsRowDxfId="146" dataCellStyle="Currency">
      <calculatedColumnFormula>Table46[[#This Row],[Total 
($)]]*0.9</calculatedColumnFormula>
    </tableColumn>
    <tableColumn id="4" xr3:uid="{13628CF5-6910-4BBF-BC83-098FC52190DC}" name="Contingency _x000a_($)" totalsRowFunction="sum" dataDxfId="145" totalsRowDxfId="144" dataCellStyle="Currency">
      <calculatedColumnFormula>Table46[[#This Row],[Total 
($)]]*0.1</calculatedColumnFormula>
    </tableColumn>
    <tableColumn id="5" xr3:uid="{36EAAFC4-E939-4E59-8FAE-45F38958245E}" name="Total _x000a_($)" totalsRowFunction="sum" dataDxfId="143" totalsRowDxfId="142" dataCellStyle="Currency"/>
  </tableColumns>
  <tableStyleInfo name="TableStyleMedium1"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 xr:uid="{89588CBA-6C1F-4467-A9EC-C87B018F637D}" name="Table46113" displayName="Table46113" ref="B14:G21" totalsRowCount="1" headerRowDxfId="141" totalsRowDxfId="140">
  <autoFilter ref="B14:G20" xr:uid="{82BE5BC9-D265-4E37-A207-7AE6575E8CA9}"/>
  <tableColumns count="6">
    <tableColumn id="1" xr3:uid="{B831F7C0-15D2-45CF-84D5-3AA717EA7A82}" name="Phase" totalsRowLabel="Total" dataDxfId="139" totalsRowDxfId="138"/>
    <tableColumn id="6" xr3:uid="{F3CC7709-99D1-41DF-B6E3-3C8A3D9A9BF0}" name="Task" dataDxfId="137" totalsRowDxfId="136"/>
    <tableColumn id="2" xr3:uid="{D52DD54D-0CAC-4ADB-8C62-899271055F20}" name="Federal Fiscal Year (FFY)" dataDxfId="135" totalsRowDxfId="134"/>
    <tableColumn id="3" xr3:uid="{30645AEC-391A-4606-AA5F-BB4D4012DEE4}" name="Expected Cost ($)" totalsRowFunction="sum" dataDxfId="133" totalsRowDxfId="132" dataCellStyle="Currency">
      <calculatedColumnFormula>Table46113[[#This Row],[Total 
($)]]*0.9</calculatedColumnFormula>
    </tableColumn>
    <tableColumn id="4" xr3:uid="{13628CF5-6910-4BBF-BC83-098FC52190DC}" name="Contingency _x000a_($)" totalsRowFunction="sum" dataDxfId="131" totalsRowDxfId="130" dataCellStyle="Currency">
      <calculatedColumnFormula>Table46113[[#This Row],[Total 
($)]]*0.1</calculatedColumnFormula>
    </tableColumn>
    <tableColumn id="5" xr3:uid="{36EAAFC4-E939-4E59-8FAE-45F38958245E}" name="Total _x000a_($)" totalsRowFunction="sum" dataDxfId="129" totalsRowDxfId="128" dataCellStyle="Currency"/>
  </tableColumns>
  <tableStyleInfo name="TableStyleMedium1"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53974896-3BE5-4217-A154-BD761043CF08}" name="Table5080" displayName="Table5080" ref="B16:G29" totalsRowCount="1" headerRowDxfId="127" dataDxfId="126">
  <autoFilter ref="B16:G28" xr:uid="{FFAF49F8-2A20-4FDC-ADFF-BEA00A077B2B}"/>
  <tableColumns count="6">
    <tableColumn id="1" xr3:uid="{032E3727-8383-4B1F-A3A8-9FC7A336BE30}" name="Bridge ID" totalsRowLabel="Total" dataDxfId="125" totalsRowDxfId="124"/>
    <tableColumn id="2" xr3:uid="{6B514C7B-1DFA-4F89-B0BC-FC2C6C0D750A}" name="Description / Task" dataDxfId="123" totalsRowDxfId="122"/>
    <tableColumn id="3" xr3:uid="{B6F5F715-2A10-459F-A24F-50032A6B2E7F}" name="Unit Cost" dataDxfId="121" totalsRowDxfId="120" dataCellStyle="Currency"/>
    <tableColumn id="4" xr3:uid="{AD210474-BBAD-40A1-A1BE-C9609FE5F8D7}" name="Iterations" dataDxfId="119" totalsRowDxfId="118" dataCellStyle="Currency"/>
    <tableColumn id="5" xr3:uid="{457EAF56-194A-48A9-8AEF-696F3E232A14}" name="30 Year Maintenance Cost" dataDxfId="117" totalsRowDxfId="116" dataCellStyle="Currency">
      <calculatedColumnFormula>Table5080[[#This Row],[Iterations]]*Table5080[[#This Row],[Unit Cost]]</calculatedColumnFormula>
    </tableColumn>
    <tableColumn id="6" xr3:uid="{3A732347-1571-4FCF-AFEA-5E03C9479836}" name="30-Year Cost _x000a_($)" totalsRowFunction="sum" dataDxfId="115" totalsRowDxfId="114" dataCellStyle="Currency">
      <calculatedColumnFormula>Table5080[[#This Row],[30 Year Maintenance Cost]]*2</calculatedColumnFormula>
    </tableColumn>
  </tableColumns>
  <tableStyleInfo name="TableStyleMedium1"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F9AC7842-BF8E-4162-AE72-3B12A595EA84}" name="Table7281" displayName="Table7281" ref="B33:G39" totalsRowShown="0" headerRowDxfId="113" dataDxfId="112">
  <autoFilter ref="B33:G39" xr:uid="{714BA165-BED1-46C5-964F-7F96665A99DF}"/>
  <tableColumns count="6">
    <tableColumn id="1" xr3:uid="{D5062859-138C-4DE1-9FE2-B1C03BB563FD}" name="Road" dataDxfId="111"/>
    <tableColumn id="2" xr3:uid="{FA799634-94F5-46B5-9EB4-FB2AB1271B4B}" name="Description/Task" dataDxfId="110"/>
    <tableColumn id="3" xr3:uid="{E39B16D3-2070-4DF6-9497-CF05CFB65CA9}" name="Units/Square Feet/Each" dataDxfId="109"/>
    <tableColumn id="4" xr3:uid="{48810BE3-F345-4099-9522-1328554957ED}" name="Unit Cost/EA/SF" dataDxfId="108" dataCellStyle="Currency"/>
    <tableColumn id="5" xr3:uid="{86560066-2115-40EF-BD58-01D9E6A95C90}" name="Iterations" dataDxfId="107"/>
    <tableColumn id="6" xr3:uid="{F72DE266-F1E9-4D90-A344-ACA65E1A782E}" name="Total Cost" dataDxfId="106" dataCellStyle="Currency">
      <calculatedColumnFormula>Table7281[[#This Row],[Iterations]]*Table7281[[#This Row],[Unit Cost/EA/SF]]*Table7281[[#This Row],[Units/Square Feet/Each]]</calculatedColumnFormula>
    </tableColumn>
  </tableColumns>
  <tableStyleInfo name="TableStyleMedium1" showFirstColumn="0"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D3D2FD39-EB9F-4337-A17F-781FE37AD13F}" name="Table7382" displayName="Table7382" ref="C43:E46" totalsRowCount="1" headerRowDxfId="105" dataDxfId="104">
  <autoFilter ref="C43:E45" xr:uid="{5F9EA0FD-0BB6-4523-8BBD-683180B2155F}"/>
  <tableColumns count="3">
    <tableColumn id="1" xr3:uid="{0C24FD2D-CB37-4627-9F67-C7B03849E3AE}" name="Item" totalsRowLabel="Total" dataDxfId="103" totalsRowDxfId="102"/>
    <tableColumn id="2" xr3:uid="{AFC9C3B3-AB73-42E9-A456-6046FDA83AB3}" name="Description" dataDxfId="101" totalsRowDxfId="100"/>
    <tableColumn id="3" xr3:uid="{01C95F95-B206-49A1-B48E-4D6AA75A5F1B}" name="Cost Over 30 Years" totalsRowFunction="sum" dataDxfId="99" totalsRowDxfId="98"/>
  </tableColumns>
  <tableStyleInfo name="TableStyleMedium1" showFirstColumn="0"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 xr:uid="{9191F6DB-9D4D-446C-B3BB-7D32A03D73FF}" name="Table5080114" displayName="Table5080114" ref="B16:G29" totalsRowCount="1" headerRowDxfId="97" dataDxfId="96">
  <autoFilter ref="B16:G28" xr:uid="{FFAF49F8-2A20-4FDC-ADFF-BEA00A077B2B}"/>
  <tableColumns count="6">
    <tableColumn id="1" xr3:uid="{032E3727-8383-4B1F-A3A8-9FC7A336BE30}" name="Bridge ID" totalsRowLabel="Total" dataDxfId="95" totalsRowDxfId="94"/>
    <tableColumn id="2" xr3:uid="{6B514C7B-1DFA-4F89-B0BC-FC2C6C0D750A}" name="Description / Task" dataDxfId="93" totalsRowDxfId="92"/>
    <tableColumn id="3" xr3:uid="{B6F5F715-2A10-459F-A24F-50032A6B2E7F}" name="Unit Cost" dataDxfId="91" totalsRowDxfId="90" dataCellStyle="Currency"/>
    <tableColumn id="4" xr3:uid="{AD210474-BBAD-40A1-A1BE-C9609FE5F8D7}" name="Iterations" dataDxfId="89" totalsRowDxfId="88" dataCellStyle="Currency"/>
    <tableColumn id="5" xr3:uid="{457EAF56-194A-48A9-8AEF-696F3E232A14}" name="30 Year Maintenance Cost" dataDxfId="87" totalsRowDxfId="86" dataCellStyle="Currency">
      <calculatedColumnFormula>Table5080114[[#This Row],[Iterations]]*Table5080114[[#This Row],[Unit Cost]]</calculatedColumnFormula>
    </tableColumn>
    <tableColumn id="6" xr3:uid="{3A732347-1571-4FCF-AFEA-5E03C9479836}" name="30-Year Cost _x000a_($)" totalsRowFunction="sum" dataDxfId="85" totalsRowDxfId="84" dataCellStyle="Currency">
      <calculatedColumnFormula>Table5080114[[#This Row],[30 Year Maintenance Cost]]*2</calculatedColumnFormula>
    </tableColumn>
  </tableColumns>
  <tableStyleInfo name="TableStyleMedium1" showFirstColumn="0"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 xr:uid="{4A758B5D-A9E9-4B93-8644-1291766652B1}" name="Table7281115" displayName="Table7281115" ref="B33:G39" totalsRowShown="0" headerRowDxfId="83" dataDxfId="82">
  <autoFilter ref="B33:G39" xr:uid="{714BA165-BED1-46C5-964F-7F96665A99DF}"/>
  <tableColumns count="6">
    <tableColumn id="1" xr3:uid="{D5062859-138C-4DE1-9FE2-B1C03BB563FD}" name="Road" dataDxfId="81"/>
    <tableColumn id="2" xr3:uid="{FA799634-94F5-46B5-9EB4-FB2AB1271B4B}" name="Description/Task" dataDxfId="80"/>
    <tableColumn id="3" xr3:uid="{E39B16D3-2070-4DF6-9497-CF05CFB65CA9}" name="Units/Square Feet/Each" dataDxfId="79"/>
    <tableColumn id="4" xr3:uid="{48810BE3-F345-4099-9522-1328554957ED}" name="Unit Cost/EA/SF" dataDxfId="78" dataCellStyle="Currency"/>
    <tableColumn id="5" xr3:uid="{86560066-2115-40EF-BD58-01D9E6A95C90}" name="Iterations" dataDxfId="77"/>
    <tableColumn id="6" xr3:uid="{F72DE266-F1E9-4D90-A344-ACA65E1A782E}" name="Total Cost" dataDxfId="76" dataCellStyle="Currency">
      <calculatedColumnFormula>Table7281115[[#This Row],[Iterations]]*Table7281115[[#This Row],[Unit Cost/EA/SF]]*Table7281115[[#This Row],[Units/Square Feet/Each]]</calculatedColumnFormula>
    </tableColumn>
  </tableColumns>
  <tableStyleInfo name="TableStyleMedium1" showFirstColumn="0"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 xr:uid="{2A41D2BF-8045-4401-BEA7-1B468D1D2AE2}" name="Table7382116" displayName="Table7382116" ref="C43:E46" totalsRowCount="1" headerRowDxfId="75" dataDxfId="74">
  <autoFilter ref="C43:E45" xr:uid="{5F9EA0FD-0BB6-4523-8BBD-683180B2155F}"/>
  <tableColumns count="3">
    <tableColumn id="1" xr3:uid="{0C24FD2D-CB37-4627-9F67-C7B03849E3AE}" name="Item" totalsRowLabel="Total" dataDxfId="73" totalsRowDxfId="72"/>
    <tableColumn id="2" xr3:uid="{AFC9C3B3-AB73-42E9-A456-6046FDA83AB3}" name="Description" dataDxfId="71" totalsRowDxfId="70"/>
    <tableColumn id="3" xr3:uid="{01C95F95-B206-49A1-B48E-4D6AA75A5F1B}" name="Cost Over 30 Years" totalsRowFunction="sum" dataDxfId="69" totalsRowDxfId="68"/>
  </tableColumns>
  <tableStyleInfo name="TableStyleMedium1" showFirstColumn="0" showLastColumn="0" showRowStripes="1" showColumnStripes="0"/>
</table>
</file>

<file path=xl/tables/table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5F8296D-E23A-428C-9E89-2236E9845B76}" name="TableA1_KABCO" displayName="TableA1_KABCO" ref="B15:C24" totalsRowShown="0">
  <autoFilter ref="B15:C24" xr:uid="{95F8296D-E23A-428C-9E89-2236E9845B76}"/>
  <tableColumns count="2">
    <tableColumn id="1" xr3:uid="{719ED2D9-1430-48AC-A147-ADE305877386}" name="KABCO Level/Crash Type"/>
    <tableColumn id="2" xr3:uid="{D58DC29D-C76D-4A36-A466-9AEAB808CCC2}" name="Monetized Value (2021 $)" dataDxfId="67" dataCellStyle="Currency"/>
  </tableColumns>
  <tableStyleInfo name="TableStyleLight8" showFirstColumn="0" showLastColumn="0" showRowStripes="1" showColumnStripes="0"/>
</table>
</file>

<file path=xl/tables/table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C33A9AA-7F36-4A48-90A0-E33FA4E73B92}" name="TableA3_TTS" displayName="TableA3_TTS" ref="B32:C40" totalsRowShown="0">
  <autoFilter ref="B32:C40" xr:uid="{AC33A9AA-7F36-4A48-90A0-E33FA4E73B92}"/>
  <tableColumns count="2">
    <tableColumn id="1" xr3:uid="{FBFB2D26-6F7C-49FB-8588-22D0ECDF6D6C}" name="Category"/>
    <tableColumn id="2" xr3:uid="{FF76DECB-3D13-425A-BB7B-F9CDF1F57F03}" name="Hourly Value" dataDxfId="66" dataCellStyle="Currency"/>
  </tableColumns>
  <tableStyleInfo name="TableStyleLight8" showFirstColumn="0" showLastColumn="0" showRowStripes="1" showColumnStripes="0"/>
</table>
</file>

<file path=xl/tables/table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B87B160-5AAB-4CA1-AE68-627772C29FC4}" name="TableA4_Vehicle_Occupancy" displayName="TableA4_Vehicle_Occupancy" ref="B44:C48" totalsRowShown="0">
  <autoFilter ref="B44:C48" xr:uid="{3B87B160-5AAB-4CA1-AE68-627772C29FC4}"/>
  <tableColumns count="2">
    <tableColumn id="1" xr3:uid="{0C99DA3D-13DB-4A79-B2F5-D8D677655EF3}" name="Vehicle Type"/>
    <tableColumn id="2" xr3:uid="{28B33FEB-00DD-473F-9A05-3D982A63F0A6}" name="Average Occupancy"/>
  </tableColumns>
  <tableStyleInfo name="TableStyleLight8" showFirstColumn="0" showLastColumn="0" showRowStripes="1" showColumnStripes="0"/>
</table>
</file>

<file path=xl/tables/table1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9FAADD6-7B65-4ABD-AFEC-9CDB84B6B8BA}" name="TableA5_Operating_Costs" displayName="TableA5_Operating_Costs" ref="B52:C54" totalsRowShown="0" headerRowDxfId="65">
  <autoFilter ref="B52:C54" xr:uid="{D9FAADD6-7B65-4ABD-AFEC-9CDB84B6B8BA}"/>
  <tableColumns count="2">
    <tableColumn id="1" xr3:uid="{4D86ACC5-17AC-4279-8E12-E938DC1D614A}" name="Vehicle Type"/>
    <tableColumn id="2" xr3:uid="{C81DB925-C87F-4C2A-94AD-623FC038D61D}" name="Recommended Value per Mile (2021 $)" dataDxfId="64" dataCellStyle="Currency"/>
  </tableColumns>
  <tableStyleInfo name="TableStyleLight8" showFirstColumn="0" showLastColumn="0" showRowStripes="1" showColumnStripes="0"/>
</table>
</file>

<file path=xl/tables/table1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1DF0B2F-A2AC-4766-ABF4-7C9D57653CE5}" name="TableA6_Emissions" displayName="TableA6_Emissions" ref="E15:I53" totalsRowShown="0">
  <autoFilter ref="E15:I53" xr:uid="{71DF0B2F-A2AC-4766-ABF4-7C9D57653CE5}"/>
  <tableColumns count="5">
    <tableColumn id="1" xr3:uid="{B237C0B8-88B9-4F99-BB44-171C7201C7F2}" name="Year"/>
    <tableColumn id="2" xr3:uid="{965D2E27-9B31-4812-AD7A-63EE21A4078B}" name="NOX" dataCellStyle="Currency"/>
    <tableColumn id="3" xr3:uid="{0CE886E6-5BA5-444C-BF41-279DC2DD90C8}" name="SOx" dataCellStyle="Currency"/>
    <tableColumn id="4" xr3:uid="{798F1178-7727-4D5C-A03B-79499F9F7A17}" name="PM2.5" dataCellStyle="Currency"/>
    <tableColumn id="5" xr3:uid="{3FB733C8-D4B2-42FF-B928-7E9185A25F9D}" name="CO2" dataCellStyle="Currency"/>
  </tableColumns>
  <tableStyleInfo name="TableStyleLight8" showFirstColumn="0" showLastColumn="0" showRowStripes="1" showColumnStripes="0"/>
</table>
</file>

<file path=xl/tables/table1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DC65CFF-829E-45C6-B8FD-2DB9FD775DFB}" name="TableA7_Inflation" displayName="TableA7_Inflation" ref="B59:C78" totalsRowShown="0">
  <autoFilter ref="B59:C78" xr:uid="{6DC65CFF-829E-45C6-B8FD-2DB9FD775DFB}"/>
  <tableColumns count="2">
    <tableColumn id="1" xr3:uid="{B8C891C5-E5EF-445F-B28A-38B57C46B6EE}" name="Base Year"/>
    <tableColumn id="2" xr3:uid="{E6735FF4-5B83-4EC9-8403-3043437692B6}" name="Multiplier" dataDxfId="63"/>
  </tableColumns>
  <tableStyleInfo name="TableStyleLight8" showFirstColumn="0" showLastColumn="0" showRowStripes="1" showColumnStripes="0"/>
</table>
</file>

<file path=xl/tables/table1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A0C4D6D7-AD85-4599-8F38-EF35FD5A7845}" name="Table11" displayName="Table11" ref="B82:C88" totalsRowShown="0">
  <autoFilter ref="B82:C88" xr:uid="{A0C4D6D7-AD85-4599-8F38-EF35FD5A7845}"/>
  <tableColumns count="2">
    <tableColumn id="1" xr3:uid="{1D557529-F0CF-403A-A11F-993CCDAA1501}" name="Improvement Type" dataDxfId="62"/>
    <tableColumn id="2" xr3:uid="{AC5B72FA-F0DB-4F69-AB53-D21AE7EE33DE}" name="Recommended Value" dataDxfId="61" dataCellStyle="Currency"/>
  </tableColumns>
  <tableStyleInfo name="TableStyleLight8" showFirstColumn="0" showLastColumn="0" showRowStripes="1" showColumnStripes="0"/>
</table>
</file>

<file path=xl/tables/table1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A752E29-2351-4C2C-970F-069ADE69C38B}" name="Table12" displayName="Table12" ref="B92:C97" totalsRowShown="0">
  <autoFilter ref="B92:C97" xr:uid="{FA752E29-2351-4C2C-970F-069ADE69C38B}"/>
  <tableColumns count="2">
    <tableColumn id="1" xr3:uid="{3F887095-6AC7-4FC6-BA4D-8B74FCD2A00B}" name="Facility Type"/>
    <tableColumn id="2" xr3:uid="{A44F8E17-1731-48E6-916E-E8FC09D8F8AC}" name="Recommended Value per Cycling Mile (2021 $)" dataDxfId="60" dataCellStyle="Currency"/>
  </tableColumns>
  <tableStyleInfo name="TableStyleLight8" showFirstColumn="0" showLastColumn="0" showRowStripes="1" showColumnStripes="0"/>
</table>
</file>

<file path=xl/tables/table1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BB04753-1AE0-4BB7-B0CF-0DBD516FCCD8}" name="TableA2_PDO" displayName="TableA2_PDO" ref="B27:C28" totalsRowShown="0" headerRowDxfId="59">
  <autoFilter ref="B27:C28" xr:uid="{6BB04753-1AE0-4BB7-B0CF-0DBD516FCCD8}"/>
  <tableColumns count="2">
    <tableColumn id="1" xr3:uid="{505F0004-3C14-4129-932E-5E3090A4F7B3}" name="Crash Type" dataDxfId="58"/>
    <tableColumn id="2" xr3:uid="{39AC394A-46A8-49B4-AA84-B728BD1AA184}" name="Monetized Value (2021 $)" dataDxfId="57" dataCellStyle="Currency"/>
  </tableColumns>
  <tableStyleInfo name="TableStyleLight8" showFirstColumn="0" showLastColumn="0" showRowStripes="1" showColumnStripes="0"/>
</table>
</file>

<file path=xl/tables/table1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C34CD9D0-A6FF-4DBA-BC49-E8B9665CA86E}" name="Table14" displayName="Table14" ref="E59:H81" totalsRowShown="0" dataDxfId="56" dataCellStyle="Currency">
  <autoFilter ref="E59:H81" xr:uid="{C34CD9D0-A6FF-4DBA-BC49-E8B9665CA86E}"/>
  <tableColumns count="4">
    <tableColumn id="1" xr3:uid="{6B663AFF-37BB-4BBC-AA4B-D21B1231E7E7}" name="Attribute Type " dataDxfId="55"/>
    <tableColumn id="2" xr3:uid="{D933DB7D-85C0-408C-995A-EF1DE7BB5519}" name=" Bus Stop " dataDxfId="54" dataCellStyle="Currency"/>
    <tableColumn id="3" xr3:uid="{8889CD43-A6D5-4951-8902-C52A2A80642C}" name=" Light Rail/Streetcar Stop " dataDxfId="53" dataCellStyle="Currency"/>
    <tableColumn id="4" xr3:uid="{8CBE9E61-15C9-4B83-85D8-A4A771FEACCC}" name=" Rail Station " dataDxfId="52" dataCellStyle="Currency"/>
  </tableColumns>
  <tableStyleInfo name="TableStyleLight8" showFirstColumn="0" showLastColumn="0" showRowStripes="1" showColumnStripes="0"/>
</table>
</file>

<file path=xl/tables/table1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DEBA6E5-C5FE-4942-AB7E-F6D79F271D47}" name="Table15" displayName="Table15" ref="E85:H94" totalsRowShown="0" dataDxfId="51" dataCellStyle="Currency">
  <autoFilter ref="E85:H94" xr:uid="{1DEBA6E5-C5FE-4942-AB7E-F6D79F271D47}"/>
  <tableColumns count="4">
    <tableColumn id="1" xr3:uid="{A0642FF0-982A-4410-BA2A-47A3911DA035}" name="Attribute Type" dataDxfId="50"/>
    <tableColumn id="2" xr3:uid="{ECAE63F4-5DE3-4D2B-BF71-24C11E5236EC}" name="Bus" dataDxfId="49" dataCellStyle="Currency"/>
    <tableColumn id="3" xr3:uid="{FBAE528A-F2E8-46C0-8FA6-A336954F82B7}" name="Light Rail/Streetcar" dataDxfId="48" dataCellStyle="Currency"/>
    <tableColumn id="4" xr3:uid="{540F01F2-4996-47BB-A1FA-A416DFB4B347}" name="Rail" dataDxfId="47" dataCellStyle="Currency"/>
  </tableColumns>
  <tableStyleInfo name="TableStyleLight8" showFirstColumn="0" showLastColumn="0" showRowStripes="1" showColumnStripes="0"/>
</table>
</file>

<file path=xl/tables/table1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9BF7A47-94C0-4C1D-B2A6-4AC5656D4EA9}" name="Table3" displayName="Table3" ref="B100:C102" totalsRowShown="0">
  <autoFilter ref="B100:C102" xr:uid="{A9BF7A47-94C0-4C1D-B2A6-4AC5656D4EA9}"/>
  <tableColumns count="2">
    <tableColumn id="1" xr3:uid="{6C4D8885-B8AD-4FAC-83B7-9C5B30766BD9}" name="Mode and Age Range"/>
    <tableColumn id="2" xr3:uid="{9446F5D1-7F73-4839-823A-B290BC9DA917}" name="Recommended Value" dataCellStyle="Currency"/>
  </tableColumns>
  <tableStyleInfo name="TableStyleLight8" showFirstColumn="0" showLastColumn="0" showRowStripes="1" showColumnStripes="0"/>
</table>
</file>

<file path=xl/tables/table1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8A22601-2BB8-4D2E-8BC5-26B104FBDBAE}" name="Table4" displayName="Table4" ref="E112:H121" totalsRowShown="0">
  <autoFilter ref="E112:H121" xr:uid="{68A22601-2BB8-4D2E-8BC5-26B104FBDBAE}"/>
  <tableColumns count="4">
    <tableColumn id="1" xr3:uid="{32AFD99F-4AB5-4862-8A6A-288109A363B0}" name="Vehicle Type"/>
    <tableColumn id="2" xr3:uid="{AFE789DA-5067-4943-A549-FEF5145F6759}" name="Location"/>
    <tableColumn id="3" xr3:uid="{B30300FF-81C5-4C1B-90F8-E8417019DC96}" name="Congestion (2020 $)" dataDxfId="46" dataCellStyle="Currency"/>
    <tableColumn id="4" xr3:uid="{BADC1985-33AF-41BE-A63D-6F6047207A52}" name="Noise (2020 $)" dataDxfId="45" dataCellStyle="Currency"/>
  </tableColumns>
  <tableStyleInfo name="TableStyleLight8" showFirstColumn="0" showLastColumn="0" showRowStripes="1" showColumnStripes="0"/>
</table>
</file>

<file path=xl/tables/table1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E373B316-C9EC-4E95-9FA4-E7C04CFBF59A}" name="Table474" displayName="Table474" ref="E98:G106" totalsRowShown="0">
  <autoFilter ref="E98:G106" xr:uid="{E373B316-C9EC-4E95-9FA4-E7C04CFBF59A}"/>
  <tableColumns count="3">
    <tableColumn id="1" xr3:uid="{38B0C365-810C-42E4-ABD4-BA28601D2051}" name="Transit Mode"/>
    <tableColumn id="2" xr3:uid="{B86C97E9-7C9A-4927-81B0-94927C1E542F}" name="Boarding Quality*" dataDxfId="44" dataCellStyle="Currency"/>
    <tableColumn id="3" xr3:uid="{8B56A044-F1BF-40FB-83AF-DB5D0A34263C}" name="Vehicle Ride Quality**" dataDxfId="43" dataCellStyle="Currency"/>
  </tableColumns>
  <tableStyleInfo name="TableStyleLight8" showFirstColumn="0" showLastColumn="0" showRowStripes="1" showColumnStripes="0"/>
</table>
</file>

<file path=xl/tables/table1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 xr:uid="{86CA4E3E-4AE6-4881-B41F-D332E21182A9}" name="TableA1_KABCO117" displayName="TableA1_KABCO117" ref="B15:C24" totalsRowShown="0">
  <autoFilter ref="B15:C24" xr:uid="{95F8296D-E23A-428C-9E89-2236E9845B76}"/>
  <tableColumns count="2">
    <tableColumn id="1" xr3:uid="{719ED2D9-1430-48AC-A147-ADE305877386}" name="KABCO Level/Crash Type"/>
    <tableColumn id="2" xr3:uid="{D58DC29D-C76D-4A36-A466-9AEAB808CCC2}" name="Monetized Value (2021 $)" dataDxfId="42" dataCellStyle="Currency"/>
  </tableColumns>
  <tableStyleInfo name="TableStyleLight8" showFirstColumn="0" showLastColumn="0" showRowStripes="1" showColumnStripes="0"/>
</table>
</file>

<file path=xl/tables/table1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 xr:uid="{E7B8BBC4-B5D4-43D7-8365-7DFDC2BD8A4A}" name="TableA3_TTS118" displayName="TableA3_TTS118" ref="B32:C40" totalsRowShown="0">
  <autoFilter ref="B32:C40" xr:uid="{AC33A9AA-7F36-4A48-90A0-E33FA4E73B92}"/>
  <tableColumns count="2">
    <tableColumn id="1" xr3:uid="{FBFB2D26-6F7C-49FB-8588-22D0ECDF6D6C}" name="Category"/>
    <tableColumn id="2" xr3:uid="{FF76DECB-3D13-425A-BB7B-F9CDF1F57F03}" name="Hourly Value" dataDxfId="41" dataCellStyle="Currency"/>
  </tableColumns>
  <tableStyleInfo name="TableStyleLight8" showFirstColumn="0" showLastColumn="0" showRowStripes="1" showColumnStripes="0"/>
</table>
</file>

<file path=xl/tables/table1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 xr:uid="{67DB408C-887F-4BDD-90E2-6026C0033629}" name="TableA4_Vehicle_Occupancy119" displayName="TableA4_Vehicle_Occupancy119" ref="B44:C48" totalsRowShown="0">
  <autoFilter ref="B44:C48" xr:uid="{3B87B160-5AAB-4CA1-AE68-627772C29FC4}"/>
  <tableColumns count="2">
    <tableColumn id="1" xr3:uid="{0C99DA3D-13DB-4A79-B2F5-D8D677655EF3}" name="Vehicle Type"/>
    <tableColumn id="2" xr3:uid="{28B33FEB-00DD-473F-9A05-3D982A63F0A6}" name="Average Occupancy"/>
  </tableColumns>
  <tableStyleInfo name="TableStyleLight8" showFirstColumn="0" showLastColumn="0" showRowStripes="1" showColumnStripes="0"/>
</table>
</file>

<file path=xl/tables/table1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 xr:uid="{2B17D2F7-712E-484E-AE12-07D4F221C895}" name="TableA5_Operating_Costs120" displayName="TableA5_Operating_Costs120" ref="B52:C54" totalsRowShown="0" headerRowDxfId="40">
  <autoFilter ref="B52:C54" xr:uid="{D9FAADD6-7B65-4ABD-AFEC-9CDB84B6B8BA}"/>
  <tableColumns count="2">
    <tableColumn id="1" xr3:uid="{4D86ACC5-17AC-4279-8E12-E938DC1D614A}" name="Vehicle Type"/>
    <tableColumn id="2" xr3:uid="{C81DB925-C87F-4C2A-94AD-623FC038D61D}" name="Recommended Value per Mile (2021 $)" dataDxfId="39" dataCellStyle="Currency"/>
  </tableColumns>
  <tableStyleInfo name="TableStyleLight8" showFirstColumn="0" showLastColumn="0" showRowStripes="1" showColumnStripes="0"/>
</table>
</file>

<file path=xl/tables/table1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 xr:uid="{A4C889C3-3A3E-4CDA-8CD0-4770D64871B2}" name="TableA6_Emissions121" displayName="TableA6_Emissions121" ref="E15:I53" totalsRowShown="0" dataDxfId="38" dataCellStyle="Currency">
  <autoFilter ref="E15:I53" xr:uid="{71DF0B2F-A2AC-4766-ABF4-7C9D57653CE5}"/>
  <tableColumns count="5">
    <tableColumn id="1" xr3:uid="{B237C0B8-88B9-4F99-BB44-171C7201C7F2}" name="Year" dataDxfId="37"/>
    <tableColumn id="2" xr3:uid="{965D2E27-9B31-4812-AD7A-63EE21A4078B}" name="NOX" dataDxfId="36" dataCellStyle="Currency"/>
    <tableColumn id="3" xr3:uid="{0CE886E6-5BA5-444C-BF41-279DC2DD90C8}" name="SOx" dataDxfId="35" dataCellStyle="Currency"/>
    <tableColumn id="4" xr3:uid="{798F1178-7727-4D5C-A03B-79499F9F7A17}" name="PM2.5" dataDxfId="34" dataCellStyle="Currency"/>
    <tableColumn id="5" xr3:uid="{3FB733C8-D4B2-42FF-B928-7E9185A25F9D}" name="CO2" dataDxfId="33" dataCellStyle="Currency"/>
  </tableColumns>
  <tableStyleInfo name="TableStyleLight8" showFirstColumn="0" showLastColumn="0" showRowStripes="1" showColumnStripes="0"/>
</table>
</file>

<file path=xl/tables/table1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 xr:uid="{C1F376B3-5BCD-4105-BE3E-41F05CD5C24B}" name="Table11123" displayName="Table11123" ref="B82:C88" totalsRowShown="0">
  <autoFilter ref="B82:C88" xr:uid="{A0C4D6D7-AD85-4599-8F38-EF35FD5A7845}"/>
  <tableColumns count="2">
    <tableColumn id="1" xr3:uid="{1D557529-F0CF-403A-A11F-993CCDAA1501}" name="Improvement Type" dataDxfId="32"/>
    <tableColumn id="2" xr3:uid="{AC5B72FA-F0DB-4F69-AB53-D21AE7EE33DE}" name="Recommended Value" dataDxfId="31" dataCellStyle="Currency"/>
  </tableColumns>
  <tableStyleInfo name="TableStyleLight8" showFirstColumn="0" showLastColumn="0" showRowStripes="1" showColumnStripes="0"/>
</table>
</file>

<file path=xl/tables/table1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 xr:uid="{905A1670-F19B-4E80-ABAC-3E4E0F473DD0}" name="Table12124" displayName="Table12124" ref="B92:C97" totalsRowShown="0">
  <autoFilter ref="B92:C97" xr:uid="{FA752E29-2351-4C2C-970F-069ADE69C38B}"/>
  <tableColumns count="2">
    <tableColumn id="1" xr3:uid="{3F887095-6AC7-4FC6-BA4D-8B74FCD2A00B}" name="Facility Type"/>
    <tableColumn id="2" xr3:uid="{A44F8E17-1731-48E6-916E-E8FC09D8F8AC}" name="Recommended Value per Cycling Mile (2020 $)" dataDxfId="30" dataCellStyle="Currency"/>
  </tableColumns>
  <tableStyleInfo name="TableStyleLight8" showFirstColumn="0" showLastColumn="0" showRowStripes="1" showColumnStripes="0"/>
</table>
</file>

<file path=xl/tables/table1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 xr:uid="{E293852B-2C01-4B0D-A546-DCA2411473BA}" name="TableA2_PDO125" displayName="TableA2_PDO125" ref="B27:C28" totalsRowShown="0" headerRowDxfId="29">
  <autoFilter ref="B27:C28" xr:uid="{6BB04753-1AE0-4BB7-B0CF-0DBD516FCCD8}"/>
  <tableColumns count="2">
    <tableColumn id="1" xr3:uid="{505F0004-3C14-4129-932E-5E3090A4F7B3}" name="Crash Type" dataDxfId="28"/>
    <tableColumn id="2" xr3:uid="{39AC394A-46A8-49B4-AA84-B728BD1AA184}" name="Monetized Value (2021 $)" dataDxfId="27" dataCellStyle="Currency"/>
  </tableColumns>
  <tableStyleInfo name="TableStyleLight8" showFirstColumn="0" showLastColumn="0" showRowStripes="1" showColumnStripes="0"/>
</table>
</file>

<file path=xl/tables/table1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 xr:uid="{D5244B7F-B72D-4799-A4D7-EEF7B14DFEBD}" name="Table14126" displayName="Table14126" ref="E59:H81" totalsRowShown="0" dataDxfId="26" dataCellStyle="Currency">
  <autoFilter ref="E59:H81" xr:uid="{C34CD9D0-A6FF-4DBA-BC49-E8B9665CA86E}"/>
  <tableColumns count="4">
    <tableColumn id="1" xr3:uid="{6B663AFF-37BB-4BBC-AA4B-D21B1231E7E7}" name="Attribute Type " dataDxfId="25"/>
    <tableColumn id="2" xr3:uid="{D933DB7D-85C0-408C-995A-EF1DE7BB5519}" name=" Bus Stop " dataDxfId="24" dataCellStyle="Currency"/>
    <tableColumn id="3" xr3:uid="{8889CD43-A6D5-4951-8902-C52A2A80642C}" name=" Light Rail/Streetcar Stop " dataDxfId="23" dataCellStyle="Currency"/>
    <tableColumn id="4" xr3:uid="{8CBE9E61-15C9-4B83-85D8-A4A771FEACCC}" name=" Rail Station " dataDxfId="22" dataCellStyle="Currency"/>
  </tableColumns>
  <tableStyleInfo name="TableStyleLight8" showFirstColumn="0" showLastColumn="0" showRowStripes="1" showColumnStripes="0"/>
</table>
</file>

<file path=xl/tables/table1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 xr:uid="{8DA1AB8F-09FC-4724-8817-5DA06D44EA3C}" name="Table15127" displayName="Table15127" ref="E85:H94" totalsRowShown="0" dataDxfId="21" dataCellStyle="Currency">
  <autoFilter ref="E85:H94" xr:uid="{1DEBA6E5-C5FE-4942-AB7E-F6D79F271D47}"/>
  <tableColumns count="4">
    <tableColumn id="1" xr3:uid="{A0642FF0-982A-4410-BA2A-47A3911DA035}" name="Attribute Type" dataDxfId="20"/>
    <tableColumn id="2" xr3:uid="{ECAE63F4-5DE3-4D2B-BF71-24C11E5236EC}" name="Bus" dataDxfId="19" dataCellStyle="Currency"/>
    <tableColumn id="3" xr3:uid="{FBAE528A-F2E8-46C0-8FA6-A336954F82B7}" name="Light Rail/Streetcar" dataDxfId="18" dataCellStyle="Currency"/>
    <tableColumn id="4" xr3:uid="{540F01F2-4996-47BB-A1FA-A416DFB4B347}" name="Rail" dataDxfId="17" dataCellStyle="Currency"/>
  </tableColumns>
  <tableStyleInfo name="TableStyleLight8" showFirstColumn="0" showLastColumn="0" showRowStripes="1" showColumnStripes="0"/>
</table>
</file>

<file path=xl/tables/table1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 xr:uid="{BAA6C8DB-ED8C-4D5C-BA5B-5861DD9D6CA2}" name="Table4129" displayName="Table4129" ref="E113:H122" totalsRowShown="0">
  <autoFilter ref="E113:H122" xr:uid="{68A22601-2BB8-4D2E-8BC5-26B104FBDBAE}"/>
  <tableColumns count="4">
    <tableColumn id="1" xr3:uid="{32AFD99F-4AB5-4862-8A6A-288109A363B0}" name="Vehicle Type" dataDxfId="16"/>
    <tableColumn id="2" xr3:uid="{AFE789DA-5067-4943-A549-FEF5145F6759}" name="Location" dataDxfId="15"/>
    <tableColumn id="3" xr3:uid="{B30300FF-81C5-4C1B-90F8-E8417019DC96}" name="Congestion (2020 $)" dataDxfId="14" dataCellStyle="Currency"/>
    <tableColumn id="4" xr3:uid="{BADC1985-33AF-41BE-A63D-6F6047207A52}" name="Noise (2020 $)" dataDxfId="13" dataCellStyle="Currency"/>
  </tableColumns>
  <tableStyleInfo name="TableStyleLight8" showFirstColumn="0" showLastColumn="0" showRowStripes="1" showColumnStripes="0"/>
</table>
</file>

<file path=xl/tables/table1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EF6E78E7-34EA-4481-BBBC-9D11C85E5648}" name="Table1512751" displayName="Table1512751" ref="E98:G106" totalsRowShown="0">
  <autoFilter ref="E98:G106" xr:uid="{EF6E78E7-34EA-4481-BBBC-9D11C85E5648}"/>
  <tableColumns count="3">
    <tableColumn id="1" xr3:uid="{191B28D1-39F2-445D-9BF2-A599FD823CA6}" name="Transit Mode" dataDxfId="12"/>
    <tableColumn id="2" xr3:uid="{DB2C6321-6EEE-466E-B10A-E1BA75948444}" name="Boarding Quality*" dataDxfId="11" dataCellStyle="Currency"/>
    <tableColumn id="3" xr3:uid="{4FC9C8FA-463D-4BF9-B90C-4743B24BC2B6}" name="Vehicle Ride Quality**" dataDxfId="10" dataCellStyle="Currency"/>
  </tableColumns>
  <tableStyleInfo name="TableStyleLight8" showFirstColumn="0" showLastColumn="0" showRowStripes="1" showColumnStripes="0"/>
</table>
</file>

<file path=xl/tables/table1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 xr:uid="{97D51AA9-96DE-479F-939D-9054FE532456}" name="Table3128" displayName="Table3128" ref="B100:C102" totalsRowShown="0">
  <autoFilter ref="B100:C102" xr:uid="{A9BF7A47-94C0-4C1D-B2A6-4AC5656D4EA9}"/>
  <tableColumns count="2">
    <tableColumn id="1" xr3:uid="{6C4D8885-B8AD-4FAC-83B7-9C5B30766BD9}" name="Mode and Age Range"/>
    <tableColumn id="2" xr3:uid="{9446F5D1-7F73-4839-823A-B290BC9DA917}" name="Recommended Value" dataDxfId="9" dataCellStyle="Currency"/>
  </tableColumns>
  <tableStyleInfo name="TableStyleLight8" showFirstColumn="0" showLastColumn="0" showRowStripes="1" showColumnStripes="0"/>
</table>
</file>

<file path=xl/tables/table1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 xr:uid="{DD3202BB-C6AC-4773-8582-E70DD9A30236}" name="TableA7_Inflation122" displayName="TableA7_Inflation122" ref="B59:C78" totalsRowShown="0">
  <autoFilter ref="B59:C78" xr:uid="{6DC65CFF-829E-45C6-B8FD-2DB9FD775DFB}"/>
  <tableColumns count="2">
    <tableColumn id="1" xr3:uid="{B8C891C5-E5EF-445F-B28A-38B57C46B6EE}" name="Base Year"/>
    <tableColumn id="2" xr3:uid="{E6735FF4-5B83-4EC9-8403-3043437692B6}" name="Multiplier" dataDxfId="8"/>
  </tableColumns>
  <tableStyleInfo name="TableStyleLight8" showFirstColumn="0" showLastColumn="0" showRowStripes="1" showColumnStripes="0"/>
</table>
</file>

<file path=xl/tables/table1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A45E504-28F7-4708-8039-C4C241EE25D7}" name="TableB1_BasicInfo" displayName="TableB1_BasicInfo" ref="B11:C15" totalsRowShown="0">
  <autoFilter ref="B11:C15" xr:uid="{3A45E504-28F7-4708-8039-C4C241EE25D7}"/>
  <tableColumns count="2">
    <tableColumn id="1" xr3:uid="{F4E915AB-CCCA-4957-B493-07C602CAEEEE}" name="Input"/>
    <tableColumn id="2" xr3:uid="{82DB2312-E53A-41C0-AA8D-3C4DF39D222D}" name="Value"/>
  </tableColumns>
  <tableStyleInfo name="TableStyleLight8" showFirstColumn="0" showLastColumn="0" showRowStripes="1" showColumnStripes="0"/>
</table>
</file>

<file path=xl/tables/table1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44A5562-6476-4443-9D59-94E259B02A17}" name="Table1B_Schedule" displayName="Table1B_Schedule" ref="E11:F15" totalsRowShown="0">
  <autoFilter ref="E11:F15" xr:uid="{D44A5562-6476-4443-9D59-94E259B02A17}"/>
  <tableColumns count="2">
    <tableColumn id="1" xr3:uid="{EA277C0E-9279-4D9A-95B9-F35B52725328}" name="Input"/>
    <tableColumn id="2" xr3:uid="{F3A2B319-61E5-420E-B689-A22BAB389394}" name="Value"/>
  </tableColumns>
  <tableStyleInfo name="TableStyleLight8" showFirstColumn="0" showLastColumn="0" showRowStripes="1" showColumnStripes="0"/>
</table>
</file>

<file path=xl/tables/table1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4E621154-03BE-476E-A956-E3CFA6CCA1E0}" name="Table39" displayName="Table39" ref="B19:C55" totalsRowShown="0" headerRowDxfId="7" dataDxfId="6">
  <autoFilter ref="B19:C55" xr:uid="{4E621154-03BE-476E-A956-E3CFA6CCA1E0}"/>
  <tableColumns count="2">
    <tableColumn id="1" xr3:uid="{95A1F9C6-4A96-46E5-969E-4779C2022E7A}" name="Year Number" dataDxfId="5">
      <calculatedColumnFormula>B19+1</calculatedColumnFormula>
    </tableColumn>
    <tableColumn id="2" xr3:uid="{0DB2BDE5-33DA-49EA-8FC3-2FBB28A5CCF4}" name="Year" dataDxfId="4">
      <calculatedColumnFormula>First_Year+Table39[[#This Row],[Year Number]]</calculatedColumnFormula>
    </tableColumn>
  </tableColumns>
  <tableStyleInfo name="TableStyleLight8" showFirstColumn="0" showLastColumn="0" showRowStripes="1" showColumnStripes="0"/>
</table>
</file>

<file path=xl/tables/table1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 xr:uid="{75B38D46-69F7-429D-8EC5-1B90600285C2}" name="TableB1_BasicInfo130" displayName="TableB1_BasicInfo130" ref="B11:C15" totalsRowShown="0">
  <autoFilter ref="B11:C15" xr:uid="{3A45E504-28F7-4708-8039-C4C241EE25D7}"/>
  <tableColumns count="2">
    <tableColumn id="1" xr3:uid="{F4E915AB-CCCA-4957-B493-07C602CAEEEE}" name="Input"/>
    <tableColumn id="2" xr3:uid="{82DB2312-E53A-41C0-AA8D-3C4DF39D222D}" name="Value"/>
  </tableColumns>
  <tableStyleInfo name="TableStyleLight8" showFirstColumn="0" showLastColumn="0" showRowStripes="1" showColumnStripes="0"/>
</table>
</file>

<file path=xl/tables/table1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 xr:uid="{16B542E4-7490-4F76-930F-216EAFD29305}" name="Table1B_Schedule131" displayName="Table1B_Schedule131" ref="E11:F15" totalsRowShown="0">
  <autoFilter ref="E11:F15" xr:uid="{D44A5562-6476-4443-9D59-94E259B02A17}"/>
  <tableColumns count="2">
    <tableColumn id="1" xr3:uid="{EA277C0E-9279-4D9A-95B9-F35B52725328}" name="Input"/>
    <tableColumn id="2" xr3:uid="{F3A2B319-61E5-420E-B689-A22BAB389394}" name="Value"/>
  </tableColumns>
  <tableStyleInfo name="TableStyleLight8" showFirstColumn="0" showLastColumn="0" showRowStripes="1" showColumnStripes="0"/>
</table>
</file>

<file path=xl/tables/table1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 xr:uid="{2D70CAB9-45EA-4ADC-8C99-5C854135230A}" name="Table39132" displayName="Table39132" ref="B19:C55" totalsRowShown="0" headerRowDxfId="3" dataDxfId="2">
  <autoFilter ref="B19:C55" xr:uid="{4E621154-03BE-476E-A956-E3CFA6CCA1E0}"/>
  <tableColumns count="2">
    <tableColumn id="1" xr3:uid="{95A1F9C6-4A96-46E5-969E-4779C2022E7A}" name="Year Number" dataDxfId="1">
      <calculatedColumnFormula>B19+1</calculatedColumnFormula>
    </tableColumn>
    <tableColumn id="2" xr3:uid="{0DB2BDE5-33DA-49EA-8FC3-2FBB28A5CCF4}" name="Year" dataDxfId="0">
      <calculatedColumnFormula>First_Year+Table39132[[#This Row],[Year Number]]</calculatedColumnFormula>
    </tableColumn>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table" Target="../tables/table3.xm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table" Target="../tables/table6.xml"/><Relationship Id="rId4" Type="http://schemas.openxmlformats.org/officeDocument/2006/relationships/table" Target="../tables/table5.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table" Target="../tables/table9.xml"/><Relationship Id="rId4" Type="http://schemas.openxmlformats.org/officeDocument/2006/relationships/table" Target="../tables/table8.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openxmlformats.org/officeDocument/2006/relationships/table" Target="../tables/table13.xml"/><Relationship Id="rId5" Type="http://schemas.openxmlformats.org/officeDocument/2006/relationships/table" Target="../tables/table12.xml"/><Relationship Id="rId4" Type="http://schemas.openxmlformats.org/officeDocument/2006/relationships/table" Target="../tables/table11.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12.xml"/><Relationship Id="rId1" Type="http://schemas.openxmlformats.org/officeDocument/2006/relationships/printerSettings" Target="../printerSettings/printerSettings12.bin"/><Relationship Id="rId5" Type="http://schemas.openxmlformats.org/officeDocument/2006/relationships/table" Target="../tables/table22.xml"/><Relationship Id="rId4" Type="http://schemas.openxmlformats.org/officeDocument/2006/relationships/table" Target="../tables/table21.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23.xml"/><Relationship Id="rId7" Type="http://schemas.openxmlformats.org/officeDocument/2006/relationships/table" Target="../tables/table27.xml"/><Relationship Id="rId2" Type="http://schemas.openxmlformats.org/officeDocument/2006/relationships/drawing" Target="../drawings/drawing13.xml"/><Relationship Id="rId1" Type="http://schemas.openxmlformats.org/officeDocument/2006/relationships/printerSettings" Target="../printerSettings/printerSettings13.bin"/><Relationship Id="rId6" Type="http://schemas.openxmlformats.org/officeDocument/2006/relationships/table" Target="../tables/table26.xml"/><Relationship Id="rId5" Type="http://schemas.openxmlformats.org/officeDocument/2006/relationships/table" Target="../tables/table25.xml"/><Relationship Id="rId4" Type="http://schemas.openxmlformats.org/officeDocument/2006/relationships/table" Target="../tables/table24.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drawing" Target="../drawings/drawing14.xml"/><Relationship Id="rId1" Type="http://schemas.openxmlformats.org/officeDocument/2006/relationships/printerSettings" Target="../printerSettings/printerSettings14.bin"/><Relationship Id="rId5" Type="http://schemas.openxmlformats.org/officeDocument/2006/relationships/table" Target="../tables/table30.xml"/><Relationship Id="rId4" Type="http://schemas.openxmlformats.org/officeDocument/2006/relationships/table" Target="../tables/table29.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31.xml"/><Relationship Id="rId7" Type="http://schemas.openxmlformats.org/officeDocument/2006/relationships/table" Target="../tables/table35.xml"/><Relationship Id="rId2" Type="http://schemas.openxmlformats.org/officeDocument/2006/relationships/drawing" Target="../drawings/drawing15.xml"/><Relationship Id="rId1" Type="http://schemas.openxmlformats.org/officeDocument/2006/relationships/printerSettings" Target="../printerSettings/printerSettings15.bin"/><Relationship Id="rId6" Type="http://schemas.openxmlformats.org/officeDocument/2006/relationships/table" Target="../tables/table34.xml"/><Relationship Id="rId5" Type="http://schemas.openxmlformats.org/officeDocument/2006/relationships/table" Target="../tables/table33.xml"/><Relationship Id="rId4" Type="http://schemas.openxmlformats.org/officeDocument/2006/relationships/table" Target="../tables/table32.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36.xml"/><Relationship Id="rId2" Type="http://schemas.openxmlformats.org/officeDocument/2006/relationships/drawing" Target="../drawings/drawing16.xml"/><Relationship Id="rId1" Type="http://schemas.openxmlformats.org/officeDocument/2006/relationships/printerSettings" Target="../printerSettings/printerSettings16.bin"/><Relationship Id="rId6" Type="http://schemas.openxmlformats.org/officeDocument/2006/relationships/table" Target="../tables/table39.xml"/><Relationship Id="rId5" Type="http://schemas.openxmlformats.org/officeDocument/2006/relationships/table" Target="../tables/table38.xml"/><Relationship Id="rId4" Type="http://schemas.openxmlformats.org/officeDocument/2006/relationships/table" Target="../tables/table37.xml"/></Relationships>
</file>

<file path=xl/worksheets/_rels/sheet17.xml.rels><?xml version="1.0" encoding="UTF-8" standalone="yes"?>
<Relationships xmlns="http://schemas.openxmlformats.org/package/2006/relationships"><Relationship Id="rId8" Type="http://schemas.openxmlformats.org/officeDocument/2006/relationships/table" Target="../tables/table45.xml"/><Relationship Id="rId3" Type="http://schemas.openxmlformats.org/officeDocument/2006/relationships/table" Target="../tables/table40.xml"/><Relationship Id="rId7" Type="http://schemas.openxmlformats.org/officeDocument/2006/relationships/table" Target="../tables/table44.xml"/><Relationship Id="rId2" Type="http://schemas.openxmlformats.org/officeDocument/2006/relationships/drawing" Target="../drawings/drawing17.xml"/><Relationship Id="rId1" Type="http://schemas.openxmlformats.org/officeDocument/2006/relationships/printerSettings" Target="../printerSettings/printerSettings17.bin"/><Relationship Id="rId6" Type="http://schemas.openxmlformats.org/officeDocument/2006/relationships/table" Target="../tables/table43.xml"/><Relationship Id="rId5" Type="http://schemas.openxmlformats.org/officeDocument/2006/relationships/table" Target="../tables/table42.xml"/><Relationship Id="rId4" Type="http://schemas.openxmlformats.org/officeDocument/2006/relationships/table" Target="../tables/table41.xml"/><Relationship Id="rId9" Type="http://schemas.openxmlformats.org/officeDocument/2006/relationships/table" Target="../tables/table46.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47.xml"/><Relationship Id="rId7" Type="http://schemas.openxmlformats.org/officeDocument/2006/relationships/table" Target="../tables/table51.xml"/><Relationship Id="rId2" Type="http://schemas.openxmlformats.org/officeDocument/2006/relationships/drawing" Target="../drawings/drawing18.xml"/><Relationship Id="rId1" Type="http://schemas.openxmlformats.org/officeDocument/2006/relationships/printerSettings" Target="../printerSettings/printerSettings18.bin"/><Relationship Id="rId6" Type="http://schemas.openxmlformats.org/officeDocument/2006/relationships/table" Target="../tables/table50.xml"/><Relationship Id="rId5" Type="http://schemas.openxmlformats.org/officeDocument/2006/relationships/table" Target="../tables/table49.xml"/><Relationship Id="rId4" Type="http://schemas.openxmlformats.org/officeDocument/2006/relationships/table" Target="../tables/table48.xml"/></Relationships>
</file>

<file path=xl/worksheets/_rels/sheet19.xml.rels><?xml version="1.0" encoding="UTF-8" standalone="yes"?>
<Relationships xmlns="http://schemas.openxmlformats.org/package/2006/relationships"><Relationship Id="rId3" Type="http://schemas.openxmlformats.org/officeDocument/2006/relationships/table" Target="../tables/table52.xml"/><Relationship Id="rId2" Type="http://schemas.openxmlformats.org/officeDocument/2006/relationships/drawing" Target="../drawings/drawing19.xml"/><Relationship Id="rId1" Type="http://schemas.openxmlformats.org/officeDocument/2006/relationships/printerSettings" Target="../printerSettings/printerSettings19.bin"/><Relationship Id="rId5" Type="http://schemas.openxmlformats.org/officeDocument/2006/relationships/table" Target="../tables/table54.xml"/><Relationship Id="rId4" Type="http://schemas.openxmlformats.org/officeDocument/2006/relationships/table" Target="../tables/table53.xml"/></Relationships>
</file>

<file path=xl/worksheets/_rels/sheet20.xml.rels><?xml version="1.0" encoding="UTF-8" standalone="yes"?>
<Relationships xmlns="http://schemas.openxmlformats.org/package/2006/relationships"><Relationship Id="rId3" Type="http://schemas.openxmlformats.org/officeDocument/2006/relationships/table" Target="../tables/table55.xml"/><Relationship Id="rId2" Type="http://schemas.openxmlformats.org/officeDocument/2006/relationships/drawing" Target="../drawings/drawing20.xml"/><Relationship Id="rId1" Type="http://schemas.openxmlformats.org/officeDocument/2006/relationships/printerSettings" Target="../printerSettings/printerSettings20.bin"/><Relationship Id="rId6" Type="http://schemas.openxmlformats.org/officeDocument/2006/relationships/table" Target="../tables/table58.xml"/><Relationship Id="rId5" Type="http://schemas.openxmlformats.org/officeDocument/2006/relationships/table" Target="../tables/table57.xml"/><Relationship Id="rId4" Type="http://schemas.openxmlformats.org/officeDocument/2006/relationships/table" Target="../tables/table56.xml"/></Relationships>
</file>

<file path=xl/worksheets/_rels/sheet21.xml.rels><?xml version="1.0" encoding="UTF-8" standalone="yes"?>
<Relationships xmlns="http://schemas.openxmlformats.org/package/2006/relationships"><Relationship Id="rId8" Type="http://schemas.openxmlformats.org/officeDocument/2006/relationships/table" Target="../tables/table64.xml"/><Relationship Id="rId3" Type="http://schemas.openxmlformats.org/officeDocument/2006/relationships/table" Target="../tables/table59.xml"/><Relationship Id="rId7" Type="http://schemas.openxmlformats.org/officeDocument/2006/relationships/table" Target="../tables/table63.xml"/><Relationship Id="rId2" Type="http://schemas.openxmlformats.org/officeDocument/2006/relationships/drawing" Target="../drawings/drawing21.xml"/><Relationship Id="rId1" Type="http://schemas.openxmlformats.org/officeDocument/2006/relationships/printerSettings" Target="../printerSettings/printerSettings21.bin"/><Relationship Id="rId6" Type="http://schemas.openxmlformats.org/officeDocument/2006/relationships/table" Target="../tables/table62.xml"/><Relationship Id="rId5" Type="http://schemas.openxmlformats.org/officeDocument/2006/relationships/table" Target="../tables/table61.xml"/><Relationship Id="rId4" Type="http://schemas.openxmlformats.org/officeDocument/2006/relationships/table" Target="../tables/table60.xml"/><Relationship Id="rId9" Type="http://schemas.openxmlformats.org/officeDocument/2006/relationships/table" Target="../tables/table65.xml"/></Relationships>
</file>

<file path=xl/worksheets/_rels/sheet22.xml.rels><?xml version="1.0" encoding="UTF-8" standalone="yes"?>
<Relationships xmlns="http://schemas.openxmlformats.org/package/2006/relationships"><Relationship Id="rId3" Type="http://schemas.openxmlformats.org/officeDocument/2006/relationships/table" Target="../tables/table66.xml"/><Relationship Id="rId7" Type="http://schemas.openxmlformats.org/officeDocument/2006/relationships/table" Target="../tables/table70.xml"/><Relationship Id="rId2" Type="http://schemas.openxmlformats.org/officeDocument/2006/relationships/drawing" Target="../drawings/drawing22.xml"/><Relationship Id="rId1" Type="http://schemas.openxmlformats.org/officeDocument/2006/relationships/printerSettings" Target="../printerSettings/printerSettings22.bin"/><Relationship Id="rId6" Type="http://schemas.openxmlformats.org/officeDocument/2006/relationships/table" Target="../tables/table69.xml"/><Relationship Id="rId5" Type="http://schemas.openxmlformats.org/officeDocument/2006/relationships/table" Target="../tables/table68.xml"/><Relationship Id="rId4" Type="http://schemas.openxmlformats.org/officeDocument/2006/relationships/table" Target="../tables/table67.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71.xml"/><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72.xml"/><Relationship Id="rId2" Type="http://schemas.openxmlformats.org/officeDocument/2006/relationships/drawing" Target="../drawings/drawing25.xml"/><Relationship Id="rId1" Type="http://schemas.openxmlformats.org/officeDocument/2006/relationships/printerSettings" Target="../printerSettings/printerSettings26.bin"/><Relationship Id="rId6" Type="http://schemas.openxmlformats.org/officeDocument/2006/relationships/table" Target="../tables/table75.xml"/><Relationship Id="rId5" Type="http://schemas.openxmlformats.org/officeDocument/2006/relationships/table" Target="../tables/table74.xml"/><Relationship Id="rId4" Type="http://schemas.openxmlformats.org/officeDocument/2006/relationships/table" Target="../tables/table73.xml"/></Relationships>
</file>

<file path=xl/worksheets/_rels/sheet27.xml.rels><?xml version="1.0" encoding="UTF-8" standalone="yes"?>
<Relationships xmlns="http://schemas.openxmlformats.org/package/2006/relationships"><Relationship Id="rId3" Type="http://schemas.openxmlformats.org/officeDocument/2006/relationships/table" Target="../tables/table76.xml"/><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table" Target="../tables/table77.xml"/><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table" Target="../tables/table78.xml"/><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table" Target="../tables/table79.xml"/><Relationship Id="rId2" Type="http://schemas.openxmlformats.org/officeDocument/2006/relationships/drawing" Target="../drawings/drawing29.xml"/><Relationship Id="rId1" Type="http://schemas.openxmlformats.org/officeDocument/2006/relationships/printerSettings" Target="../printerSettings/printerSettings30.bin"/><Relationship Id="rId5" Type="http://schemas.openxmlformats.org/officeDocument/2006/relationships/table" Target="../tables/table81.xml"/><Relationship Id="rId4" Type="http://schemas.openxmlformats.org/officeDocument/2006/relationships/table" Target="../tables/table80.xml"/></Relationships>
</file>

<file path=xl/worksheets/_rels/sheet31.xml.rels><?xml version="1.0" encoding="UTF-8" standalone="yes"?>
<Relationships xmlns="http://schemas.openxmlformats.org/package/2006/relationships"><Relationship Id="rId3" Type="http://schemas.openxmlformats.org/officeDocument/2006/relationships/table" Target="../tables/table82.xml"/><Relationship Id="rId2" Type="http://schemas.openxmlformats.org/officeDocument/2006/relationships/drawing" Target="../drawings/drawing30.xml"/><Relationship Id="rId1" Type="http://schemas.openxmlformats.org/officeDocument/2006/relationships/printerSettings" Target="../printerSettings/printerSettings31.bin"/><Relationship Id="rId5" Type="http://schemas.openxmlformats.org/officeDocument/2006/relationships/table" Target="../tables/table84.xml"/><Relationship Id="rId4" Type="http://schemas.openxmlformats.org/officeDocument/2006/relationships/table" Target="../tables/table83.xml"/></Relationships>
</file>

<file path=xl/worksheets/_rels/sheet32.xml.rels><?xml version="1.0" encoding="UTF-8" standalone="yes"?>
<Relationships xmlns="http://schemas.openxmlformats.org/package/2006/relationships"><Relationship Id="rId3" Type="http://schemas.openxmlformats.org/officeDocument/2006/relationships/table" Target="../tables/table85.xml"/><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table" Target="../tables/table86.xml"/><Relationship Id="rId2" Type="http://schemas.openxmlformats.org/officeDocument/2006/relationships/drawing" Target="../drawings/drawing34.xml"/><Relationship Id="rId1" Type="http://schemas.openxmlformats.org/officeDocument/2006/relationships/printerSettings" Target="../printerSettings/printerSettings35.bin"/><Relationship Id="rId5" Type="http://schemas.openxmlformats.org/officeDocument/2006/relationships/table" Target="../tables/table88.xml"/><Relationship Id="rId4" Type="http://schemas.openxmlformats.org/officeDocument/2006/relationships/table" Target="../tables/table87.xml"/></Relationships>
</file>

<file path=xl/worksheets/_rels/sheet36.xml.rels><?xml version="1.0" encoding="UTF-8" standalone="yes"?>
<Relationships xmlns="http://schemas.openxmlformats.org/package/2006/relationships"><Relationship Id="rId3" Type="http://schemas.openxmlformats.org/officeDocument/2006/relationships/table" Target="../tables/table89.xml"/><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table" Target="../tables/table90.xml"/><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table" Target="../tables/table91.xml"/><Relationship Id="rId2" Type="http://schemas.openxmlformats.org/officeDocument/2006/relationships/drawing" Target="../drawings/drawing39.xml"/><Relationship Id="rId1" Type="http://schemas.openxmlformats.org/officeDocument/2006/relationships/printerSettings" Target="../printerSettings/printerSettings40.bin"/><Relationship Id="rId5" Type="http://schemas.openxmlformats.org/officeDocument/2006/relationships/table" Target="../tables/table93.xml"/><Relationship Id="rId4" Type="http://schemas.openxmlformats.org/officeDocument/2006/relationships/table" Target="../tables/table92.xml"/></Relationships>
</file>

<file path=xl/worksheets/_rels/sheet41.xml.rels><?xml version="1.0" encoding="UTF-8" standalone="yes"?>
<Relationships xmlns="http://schemas.openxmlformats.org/package/2006/relationships"><Relationship Id="rId3" Type="http://schemas.openxmlformats.org/officeDocument/2006/relationships/table" Target="../tables/table94.xml"/><Relationship Id="rId2" Type="http://schemas.openxmlformats.org/officeDocument/2006/relationships/drawing" Target="../drawings/drawing40.xml"/><Relationship Id="rId1" Type="http://schemas.openxmlformats.org/officeDocument/2006/relationships/printerSettings" Target="../printerSettings/printerSettings41.bin"/><Relationship Id="rId5" Type="http://schemas.openxmlformats.org/officeDocument/2006/relationships/table" Target="../tables/table96.xml"/><Relationship Id="rId4" Type="http://schemas.openxmlformats.org/officeDocument/2006/relationships/table" Target="../tables/table95.xml"/></Relationships>
</file>

<file path=xl/worksheets/_rels/sheet42.xml.rels><?xml version="1.0" encoding="UTF-8" standalone="yes"?>
<Relationships xmlns="http://schemas.openxmlformats.org/package/2006/relationships"><Relationship Id="rId8" Type="http://schemas.openxmlformats.org/officeDocument/2006/relationships/table" Target="../tables/table102.xml"/><Relationship Id="rId13" Type="http://schemas.openxmlformats.org/officeDocument/2006/relationships/table" Target="../tables/table107.xml"/><Relationship Id="rId3" Type="http://schemas.openxmlformats.org/officeDocument/2006/relationships/table" Target="../tables/table97.xml"/><Relationship Id="rId7" Type="http://schemas.openxmlformats.org/officeDocument/2006/relationships/table" Target="../tables/table101.xml"/><Relationship Id="rId12" Type="http://schemas.openxmlformats.org/officeDocument/2006/relationships/table" Target="../tables/table106.xml"/><Relationship Id="rId2" Type="http://schemas.openxmlformats.org/officeDocument/2006/relationships/drawing" Target="../drawings/drawing41.xml"/><Relationship Id="rId16" Type="http://schemas.openxmlformats.org/officeDocument/2006/relationships/table" Target="../tables/table110.xml"/><Relationship Id="rId1" Type="http://schemas.openxmlformats.org/officeDocument/2006/relationships/printerSettings" Target="../printerSettings/printerSettings42.bin"/><Relationship Id="rId6" Type="http://schemas.openxmlformats.org/officeDocument/2006/relationships/table" Target="../tables/table100.xml"/><Relationship Id="rId11" Type="http://schemas.openxmlformats.org/officeDocument/2006/relationships/table" Target="../tables/table105.xml"/><Relationship Id="rId5" Type="http://schemas.openxmlformats.org/officeDocument/2006/relationships/table" Target="../tables/table99.xml"/><Relationship Id="rId15" Type="http://schemas.openxmlformats.org/officeDocument/2006/relationships/table" Target="../tables/table109.xml"/><Relationship Id="rId10" Type="http://schemas.openxmlformats.org/officeDocument/2006/relationships/table" Target="../tables/table104.xml"/><Relationship Id="rId4" Type="http://schemas.openxmlformats.org/officeDocument/2006/relationships/table" Target="../tables/table98.xml"/><Relationship Id="rId9" Type="http://schemas.openxmlformats.org/officeDocument/2006/relationships/table" Target="../tables/table103.xml"/><Relationship Id="rId14" Type="http://schemas.openxmlformats.org/officeDocument/2006/relationships/table" Target="../tables/table108.xml"/></Relationships>
</file>

<file path=xl/worksheets/_rels/sheet43.xml.rels><?xml version="1.0" encoding="UTF-8" standalone="yes"?>
<Relationships xmlns="http://schemas.openxmlformats.org/package/2006/relationships"><Relationship Id="rId8" Type="http://schemas.openxmlformats.org/officeDocument/2006/relationships/table" Target="../tables/table116.xml"/><Relationship Id="rId13" Type="http://schemas.openxmlformats.org/officeDocument/2006/relationships/table" Target="../tables/table121.xml"/><Relationship Id="rId3" Type="http://schemas.openxmlformats.org/officeDocument/2006/relationships/table" Target="../tables/table111.xml"/><Relationship Id="rId7" Type="http://schemas.openxmlformats.org/officeDocument/2006/relationships/table" Target="../tables/table115.xml"/><Relationship Id="rId12" Type="http://schemas.openxmlformats.org/officeDocument/2006/relationships/table" Target="../tables/table120.xml"/><Relationship Id="rId2" Type="http://schemas.openxmlformats.org/officeDocument/2006/relationships/drawing" Target="../drawings/drawing42.xml"/><Relationship Id="rId16" Type="http://schemas.openxmlformats.org/officeDocument/2006/relationships/table" Target="../tables/table124.xml"/><Relationship Id="rId1" Type="http://schemas.openxmlformats.org/officeDocument/2006/relationships/printerSettings" Target="../printerSettings/printerSettings43.bin"/><Relationship Id="rId6" Type="http://schemas.openxmlformats.org/officeDocument/2006/relationships/table" Target="../tables/table114.xml"/><Relationship Id="rId11" Type="http://schemas.openxmlformats.org/officeDocument/2006/relationships/table" Target="../tables/table119.xml"/><Relationship Id="rId5" Type="http://schemas.openxmlformats.org/officeDocument/2006/relationships/table" Target="../tables/table113.xml"/><Relationship Id="rId15" Type="http://schemas.openxmlformats.org/officeDocument/2006/relationships/table" Target="../tables/table123.xml"/><Relationship Id="rId10" Type="http://schemas.openxmlformats.org/officeDocument/2006/relationships/table" Target="../tables/table118.xml"/><Relationship Id="rId4" Type="http://schemas.openxmlformats.org/officeDocument/2006/relationships/table" Target="../tables/table112.xml"/><Relationship Id="rId9" Type="http://schemas.openxmlformats.org/officeDocument/2006/relationships/table" Target="../tables/table117.xml"/><Relationship Id="rId14" Type="http://schemas.openxmlformats.org/officeDocument/2006/relationships/table" Target="../tables/table122.xml"/></Relationships>
</file>

<file path=xl/worksheets/_rels/sheet44.xml.rels><?xml version="1.0" encoding="UTF-8" standalone="yes"?>
<Relationships xmlns="http://schemas.openxmlformats.org/package/2006/relationships"><Relationship Id="rId3" Type="http://schemas.openxmlformats.org/officeDocument/2006/relationships/table" Target="../tables/table125.xml"/><Relationship Id="rId2" Type="http://schemas.openxmlformats.org/officeDocument/2006/relationships/drawing" Target="../drawings/drawing43.xml"/><Relationship Id="rId1" Type="http://schemas.openxmlformats.org/officeDocument/2006/relationships/printerSettings" Target="../printerSettings/printerSettings44.bin"/><Relationship Id="rId5" Type="http://schemas.openxmlformats.org/officeDocument/2006/relationships/table" Target="../tables/table127.xml"/><Relationship Id="rId4" Type="http://schemas.openxmlformats.org/officeDocument/2006/relationships/table" Target="../tables/table126.xml"/></Relationships>
</file>

<file path=xl/worksheets/_rels/sheet45.xml.rels><?xml version="1.0" encoding="UTF-8" standalone="yes"?>
<Relationships xmlns="http://schemas.openxmlformats.org/package/2006/relationships"><Relationship Id="rId3" Type="http://schemas.openxmlformats.org/officeDocument/2006/relationships/table" Target="../tables/table128.xml"/><Relationship Id="rId2" Type="http://schemas.openxmlformats.org/officeDocument/2006/relationships/drawing" Target="../drawings/drawing44.xml"/><Relationship Id="rId1" Type="http://schemas.openxmlformats.org/officeDocument/2006/relationships/printerSettings" Target="../printerSettings/printerSettings45.bin"/><Relationship Id="rId5" Type="http://schemas.openxmlformats.org/officeDocument/2006/relationships/table" Target="../tables/table130.xml"/><Relationship Id="rId4" Type="http://schemas.openxmlformats.org/officeDocument/2006/relationships/table" Target="../tables/table12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DE6D0-9235-43F0-8069-2FA207560B8F}">
  <sheetPr>
    <tabColor theme="9"/>
    <pageSetUpPr fitToPage="1"/>
  </sheetPr>
  <dimension ref="A1:K61"/>
  <sheetViews>
    <sheetView showGridLines="0" tabSelected="1" zoomScale="85" zoomScaleNormal="85" workbookViewId="0">
      <selection activeCell="A9" sqref="A9"/>
    </sheetView>
  </sheetViews>
  <sheetFormatPr defaultColWidth="9.140625" defaultRowHeight="12.75"/>
  <cols>
    <col min="1" max="1" width="13.85546875" style="61" bestFit="1" customWidth="1"/>
    <col min="2" max="2" width="17.7109375" style="67" customWidth="1"/>
    <col min="3" max="3" width="13" style="61" bestFit="1" customWidth="1"/>
    <col min="4" max="4" width="20.7109375" style="61" customWidth="1"/>
    <col min="5" max="5" width="34.28515625" style="61" customWidth="1"/>
    <col min="6" max="6" width="20.7109375" style="61" customWidth="1"/>
    <col min="7" max="7" width="10.5703125" style="61" customWidth="1"/>
    <col min="8" max="8" width="38.5703125" style="61" customWidth="1"/>
    <col min="9" max="9" width="39.85546875" style="61" customWidth="1"/>
    <col min="10" max="10" width="23.42578125" style="61" bestFit="1" customWidth="1"/>
    <col min="11" max="13" width="16" style="61" customWidth="1"/>
    <col min="14" max="14" width="14.7109375" style="61" customWidth="1"/>
    <col min="15" max="16384" width="9.140625" style="61"/>
  </cols>
  <sheetData>
    <row r="1" spans="1:11">
      <c r="A1" s="455" t="s">
        <v>0</v>
      </c>
      <c r="B1" s="455"/>
      <c r="C1" s="455"/>
      <c r="D1" s="455"/>
      <c r="E1" s="455"/>
      <c r="F1" s="455"/>
      <c r="G1" s="455"/>
      <c r="H1" s="455"/>
      <c r="I1" s="455"/>
      <c r="J1" s="455"/>
      <c r="K1" s="60"/>
    </row>
    <row r="2" spans="1:11">
      <c r="A2" s="62" t="s">
        <v>1</v>
      </c>
      <c r="B2" s="63" t="str">
        <f>Project_Name</f>
        <v>Completing the I-95 Missing Move and Quonset Connector Ramps</v>
      </c>
    </row>
    <row r="3" spans="1:11">
      <c r="A3" s="62" t="s">
        <v>2</v>
      </c>
      <c r="B3" s="63" t="s">
        <v>3</v>
      </c>
    </row>
    <row r="4" spans="1:11">
      <c r="A4" s="62" t="s">
        <v>4</v>
      </c>
      <c r="B4" s="64">
        <f>Date</f>
        <v>45159</v>
      </c>
    </row>
    <row r="5" spans="1:11" ht="29.25" customHeight="1" thickBot="1">
      <c r="A5" s="62"/>
      <c r="B5" s="65"/>
    </row>
    <row r="6" spans="1:11" ht="262.5" customHeight="1" thickBot="1">
      <c r="A6" s="456" t="s">
        <v>5</v>
      </c>
      <c r="B6" s="457"/>
      <c r="C6" s="457"/>
      <c r="D6" s="457"/>
      <c r="E6" s="457"/>
      <c r="F6" s="457"/>
      <c r="G6" s="457"/>
      <c r="H6" s="457"/>
      <c r="I6" s="457"/>
      <c r="J6" s="458"/>
      <c r="K6" s="66"/>
    </row>
    <row r="7" spans="1:11">
      <c r="A7" s="62"/>
      <c r="B7" s="65"/>
    </row>
    <row r="8" spans="1:11">
      <c r="A8" s="62"/>
      <c r="B8" s="65"/>
      <c r="E8" s="63" t="s">
        <v>6</v>
      </c>
    </row>
    <row r="9" spans="1:11">
      <c r="A9" s="62"/>
      <c r="B9" s="65"/>
    </row>
    <row r="10" spans="1:11">
      <c r="A10" s="62"/>
      <c r="B10" s="65"/>
      <c r="E10" s="61" t="s">
        <v>7</v>
      </c>
      <c r="F10" s="61" t="s">
        <v>8</v>
      </c>
    </row>
    <row r="11" spans="1:11" ht="12.75" customHeight="1">
      <c r="E11" s="81" t="s">
        <v>9</v>
      </c>
      <c r="F11" s="77">
        <v>30</v>
      </c>
    </row>
    <row r="12" spans="1:11">
      <c r="E12" s="81" t="s">
        <v>10</v>
      </c>
      <c r="F12" s="340">
        <v>7.0000000000000007E-2</v>
      </c>
    </row>
    <row r="13" spans="1:11">
      <c r="E13" s="81" t="s">
        <v>11</v>
      </c>
      <c r="F13" s="340">
        <v>0.03</v>
      </c>
    </row>
    <row r="14" spans="1:11">
      <c r="E14" s="81" t="s">
        <v>12</v>
      </c>
      <c r="F14" s="343">
        <f>Table76134[[#Totals],[Project Benefits at 7% Discount Rate*]]</f>
        <v>248841254.66081029</v>
      </c>
    </row>
    <row r="15" spans="1:11">
      <c r="E15" s="81" t="s">
        <v>13</v>
      </c>
      <c r="F15" s="343">
        <f>Table77135[[#Totals],[Project Costs at 7% Discount Rate]]</f>
        <v>114160328.08344837</v>
      </c>
    </row>
    <row r="16" spans="1:11">
      <c r="E16" s="90" t="s">
        <v>14</v>
      </c>
      <c r="F16" s="348">
        <f>F14/F15</f>
        <v>2.1797524484943098</v>
      </c>
    </row>
    <row r="17" spans="2:10">
      <c r="E17" s="81" t="s">
        <v>15</v>
      </c>
      <c r="F17" s="341">
        <f>Table76134[[#Totals],[Project Benefits at 7% Discount Rate*]]-Table77135[[#Totals],[Project Costs at 7% Discount Rate]]</f>
        <v>134680926.57736194</v>
      </c>
    </row>
    <row r="18" spans="2:10">
      <c r="E18" s="82" t="s">
        <v>16</v>
      </c>
      <c r="F18" s="342">
        <f>Table76134[[#Totals],[Project Benefits at 3% Discount Rate]]/Table77135[[#Totals],[Project Costs at 3% Discount Rate]]</f>
        <v>3.9748918081647191</v>
      </c>
    </row>
    <row r="19" spans="2:10">
      <c r="E19" s="82" t="s">
        <v>17</v>
      </c>
      <c r="F19" s="293">
        <f>Table76134[[#Totals],[Project Benefits at 3% Discount Rate]]-Table77135[[#Totals],[Project Costs at 3% Discount Rate]]</f>
        <v>411519380.09533685</v>
      </c>
    </row>
    <row r="21" spans="2:10" ht="12.75" customHeight="1">
      <c r="B21" s="459" t="s">
        <v>18</v>
      </c>
      <c r="C21" s="459"/>
      <c r="D21" s="459"/>
      <c r="H21" s="71" t="s">
        <v>19</v>
      </c>
      <c r="I21" s="71"/>
      <c r="J21" s="71"/>
    </row>
    <row r="22" spans="2:10">
      <c r="H22" s="70"/>
    </row>
    <row r="23" spans="2:10" ht="48" customHeight="1">
      <c r="B23" s="133" t="s">
        <v>20</v>
      </c>
      <c r="C23" s="133" t="s">
        <v>21</v>
      </c>
      <c r="D23" s="133" t="s">
        <v>22</v>
      </c>
      <c r="E23" s="133" t="s">
        <v>23</v>
      </c>
      <c r="F23" s="133" t="s">
        <v>24</v>
      </c>
      <c r="G23" s="133"/>
      <c r="H23" s="133" t="s">
        <v>25</v>
      </c>
      <c r="I23" s="133" t="s">
        <v>26</v>
      </c>
      <c r="J23" s="133" t="s">
        <v>27</v>
      </c>
    </row>
    <row r="24" spans="2:10" ht="12.75" customHeight="1">
      <c r="B24" s="344">
        <v>1</v>
      </c>
      <c r="C24" s="344">
        <v>2022</v>
      </c>
      <c r="D24" s="345">
        <f>'ALL_ES-2. B&amp;C Summary Backup'!M12</f>
        <v>0</v>
      </c>
      <c r="E24" s="346">
        <f>'ALL_ES-2. B&amp;C Summary Backup'!N12</f>
        <v>0</v>
      </c>
      <c r="F24" s="346">
        <f t="shared" ref="F24:F59" si="0">$D24/((1+$F$13)^$B24)</f>
        <v>0</v>
      </c>
      <c r="G24" s="346"/>
      <c r="H24" s="347">
        <f>'ALL_ES-2. B&amp;C Summary Backup'!E58</f>
        <v>1180000</v>
      </c>
      <c r="I24" s="346">
        <f t="shared" ref="I24:I59" si="1">$H24/((1+$F$12)^$B24)</f>
        <v>1102803.7383177569</v>
      </c>
      <c r="J24" s="346">
        <f t="shared" ref="J24:J59" si="2">$H24/((1+$F$13)^$B24)</f>
        <v>1145631.067961165</v>
      </c>
    </row>
    <row r="25" spans="2:10">
      <c r="B25" s="344">
        <v>2</v>
      </c>
      <c r="C25" s="344">
        <f>C24+1</f>
        <v>2023</v>
      </c>
      <c r="D25" s="345">
        <f>'ALL_ES-2. B&amp;C Summary Backup'!M13</f>
        <v>-113871.33997340442</v>
      </c>
      <c r="E25" s="346">
        <f>'ALL_ES-2. B&amp;C Summary Backup'!N13</f>
        <v>-99459.638373136884</v>
      </c>
      <c r="F25" s="346">
        <f t="shared" si="0"/>
        <v>-107334.65922650998</v>
      </c>
      <c r="G25" s="346"/>
      <c r="H25" s="347">
        <f>'ALL_ES-2. B&amp;C Summary Backup'!E59</f>
        <v>7580000</v>
      </c>
      <c r="I25" s="346">
        <f t="shared" si="1"/>
        <v>6620665.560310944</v>
      </c>
      <c r="J25" s="346">
        <f t="shared" si="2"/>
        <v>7144876.9912338583</v>
      </c>
    </row>
    <row r="26" spans="2:10">
      <c r="B26" s="344">
        <v>3</v>
      </c>
      <c r="C26" s="344">
        <f t="shared" ref="C26:C59" si="3">C25+1</f>
        <v>2024</v>
      </c>
      <c r="D26" s="345">
        <f>'ALL_ES-2. B&amp;C Summary Backup'!M14</f>
        <v>-498662.78081123548</v>
      </c>
      <c r="E26" s="346">
        <f>'ALL_ES-2. B&amp;C Summary Backup'!N14</f>
        <v>-407057.36926069978</v>
      </c>
      <c r="F26" s="346">
        <f t="shared" si="0"/>
        <v>-456347.08468925493</v>
      </c>
      <c r="G26" s="346"/>
      <c r="H26" s="347">
        <f>'ALL_ES-2. B&amp;C Summary Backup'!E60</f>
        <v>68400000</v>
      </c>
      <c r="I26" s="346">
        <f t="shared" si="1"/>
        <v>55834774.779334269</v>
      </c>
      <c r="J26" s="346">
        <f t="shared" si="2"/>
        <v>62595689.499756113</v>
      </c>
    </row>
    <row r="27" spans="2:10">
      <c r="B27" s="344">
        <v>4</v>
      </c>
      <c r="C27" s="344">
        <f t="shared" si="3"/>
        <v>2025</v>
      </c>
      <c r="D27" s="345">
        <f>'ALL_ES-2. B&amp;C Summary Backup'!M15</f>
        <v>-628195.04356408888</v>
      </c>
      <c r="E27" s="346">
        <f>'ALL_ES-2. B&amp;C Summary Backup'!N15</f>
        <v>-479246.99096702994</v>
      </c>
      <c r="F27" s="346">
        <f t="shared" si="0"/>
        <v>-558143.15977152495</v>
      </c>
      <c r="G27" s="346"/>
      <c r="H27" s="347">
        <f>'ALL_ES-2. B&amp;C Summary Backup'!E61</f>
        <v>29100000</v>
      </c>
      <c r="I27" s="346">
        <f t="shared" si="1"/>
        <v>22200250.670582984</v>
      </c>
      <c r="J27" s="346">
        <f t="shared" si="2"/>
        <v>25854973.094346549</v>
      </c>
    </row>
    <row r="28" spans="2:10">
      <c r="B28" s="344">
        <v>5</v>
      </c>
      <c r="C28" s="344">
        <f t="shared" si="3"/>
        <v>2026</v>
      </c>
      <c r="D28" s="345">
        <f>'ALL_ES-2. B&amp;C Summary Backup'!M16</f>
        <v>-628195.04356408888</v>
      </c>
      <c r="E28" s="346">
        <f>'ALL_ES-2. B&amp;C Summary Backup'!N16</f>
        <v>-447894.38408133632</v>
      </c>
      <c r="F28" s="346">
        <f t="shared" si="0"/>
        <v>-541886.56288497569</v>
      </c>
      <c r="G28" s="346"/>
      <c r="H28" s="347">
        <f>'ALL_ES-2. B&amp;C Summary Backup'!E62</f>
        <v>12525000</v>
      </c>
      <c r="I28" s="346">
        <f t="shared" si="1"/>
        <v>8930151.8980329465</v>
      </c>
      <c r="J28" s="346">
        <f t="shared" si="2"/>
        <v>10804175.024411656</v>
      </c>
    </row>
    <row r="29" spans="2:10">
      <c r="B29" s="344">
        <v>6</v>
      </c>
      <c r="C29" s="344">
        <f t="shared" si="3"/>
        <v>2027</v>
      </c>
      <c r="D29" s="345">
        <f>'ALL_ES-2. B&amp;C Summary Backup'!M17</f>
        <v>12929052.5088048</v>
      </c>
      <c r="E29" s="346">
        <f>'ALL_ES-2. B&amp;C Summary Backup'!N17</f>
        <v>8616536.3836573884</v>
      </c>
      <c r="F29" s="346">
        <f t="shared" si="0"/>
        <v>10827877.929960325</v>
      </c>
      <c r="G29" s="346"/>
      <c r="H29" s="347">
        <f>'ALL_ES-2. B&amp;C Summary Backup'!E63</f>
        <v>16215000</v>
      </c>
      <c r="I29" s="346">
        <f t="shared" si="1"/>
        <v>10804739.15918475</v>
      </c>
      <c r="J29" s="346">
        <f t="shared" si="2"/>
        <v>13579807.222125456</v>
      </c>
    </row>
    <row r="30" spans="2:10">
      <c r="B30" s="344">
        <v>7</v>
      </c>
      <c r="C30" s="344">
        <f t="shared" si="3"/>
        <v>2028</v>
      </c>
      <c r="D30" s="347">
        <f>'ALL_ES-2. B&amp;C Summary Backup'!M18</f>
        <v>14718255.158267301</v>
      </c>
      <c r="E30" s="346">
        <f>'ALL_ES-2. B&amp;C Summary Backup'!N18</f>
        <v>9167768.0106592514</v>
      </c>
      <c r="F30" s="346">
        <f t="shared" si="0"/>
        <v>11967288.330972672</v>
      </c>
      <c r="G30" s="346"/>
      <c r="H30" s="345">
        <f>'ALL_ES-2. B&amp;C Summary Backup'!E64</f>
        <v>1048166.6666666667</v>
      </c>
      <c r="I30" s="346">
        <f t="shared" si="1"/>
        <v>652745.52111869899</v>
      </c>
      <c r="J30" s="346">
        <f t="shared" si="2"/>
        <v>852255.41913972539</v>
      </c>
    </row>
    <row r="31" spans="2:10">
      <c r="B31" s="344">
        <v>8</v>
      </c>
      <c r="C31" s="344">
        <f t="shared" si="3"/>
        <v>2029</v>
      </c>
      <c r="D31" s="347">
        <f>'ALL_ES-2. B&amp;C Summary Backup'!M19</f>
        <v>16280202.068305289</v>
      </c>
      <c r="E31" s="346">
        <f>'ALL_ES-2. B&amp;C Summary Backup'!N19</f>
        <v>9477901.1460419055</v>
      </c>
      <c r="F31" s="346">
        <f t="shared" si="0"/>
        <v>12851741.849217031</v>
      </c>
      <c r="G31" s="346"/>
      <c r="H31" s="345">
        <f>'ALL_ES-2. B&amp;C Summary Backup'!E65</f>
        <v>1048166.6666666667</v>
      </c>
      <c r="I31" s="346">
        <f t="shared" si="1"/>
        <v>610042.5431015878</v>
      </c>
      <c r="J31" s="346">
        <f t="shared" si="2"/>
        <v>827432.44576672371</v>
      </c>
    </row>
    <row r="32" spans="2:10">
      <c r="B32" s="344">
        <v>9</v>
      </c>
      <c r="C32" s="344">
        <f t="shared" si="3"/>
        <v>2030</v>
      </c>
      <c r="D32" s="347">
        <f>'ALL_ES-2. B&amp;C Summary Backup'!M20</f>
        <v>17756415.238352247</v>
      </c>
      <c r="E32" s="346">
        <f>'ALL_ES-2. B&amp;C Summary Backup'!N20</f>
        <v>9661810.9833027758</v>
      </c>
      <c r="F32" s="346">
        <f t="shared" si="0"/>
        <v>13608813.745114513</v>
      </c>
      <c r="G32" s="346"/>
      <c r="H32" s="345">
        <f>'ALL_ES-2. B&amp;C Summary Backup'!E66</f>
        <v>1048166.6666666667</v>
      </c>
      <c r="I32" s="346">
        <f t="shared" si="1"/>
        <v>570133.21785195114</v>
      </c>
      <c r="J32" s="346">
        <f t="shared" si="2"/>
        <v>803332.47161817842</v>
      </c>
    </row>
    <row r="33" spans="2:10">
      <c r="B33" s="344">
        <v>10</v>
      </c>
      <c r="C33" s="344">
        <f t="shared" si="3"/>
        <v>2031</v>
      </c>
      <c r="D33" s="347">
        <f>'ALL_ES-2. B&amp;C Summary Backup'!M21</f>
        <v>19231061.766967166</v>
      </c>
      <c r="E33" s="346">
        <f>'ALL_ES-2. B&amp;C Summary Backup'!N21</f>
        <v>9780437.0598044544</v>
      </c>
      <c r="F33" s="346">
        <f t="shared" si="0"/>
        <v>14309716.037803331</v>
      </c>
      <c r="G33" s="346"/>
      <c r="H33" s="345">
        <f>'ALL_ES-2. B&amp;C Summary Backup'!E67</f>
        <v>1048166.6666666667</v>
      </c>
      <c r="I33" s="346">
        <f t="shared" si="1"/>
        <v>532834.78303920676</v>
      </c>
      <c r="J33" s="346">
        <f t="shared" si="2"/>
        <v>779934.43846425088</v>
      </c>
    </row>
    <row r="34" spans="2:10">
      <c r="B34" s="344">
        <v>11</v>
      </c>
      <c r="C34" s="344">
        <f t="shared" si="3"/>
        <v>2032</v>
      </c>
      <c r="D34" s="347">
        <f>'ALL_ES-2. B&amp;C Summary Backup'!M22</f>
        <v>20706518.815506253</v>
      </c>
      <c r="E34" s="346">
        <f>'ALL_ES-2. B&amp;C Summary Backup'!N22</f>
        <v>9842937.6165425684</v>
      </c>
      <c r="F34" s="346">
        <f t="shared" si="0"/>
        <v>14958829.756614318</v>
      </c>
      <c r="G34" s="346"/>
      <c r="H34" s="345">
        <f>'ALL_ES-2. B&amp;C Summary Backup'!E68</f>
        <v>1048166.6666666667</v>
      </c>
      <c r="I34" s="346">
        <f t="shared" si="1"/>
        <v>497976.43274692213</v>
      </c>
      <c r="J34" s="346">
        <f t="shared" si="2"/>
        <v>757217.9014216027</v>
      </c>
    </row>
    <row r="35" spans="2:10">
      <c r="B35" s="344">
        <v>12</v>
      </c>
      <c r="C35" s="344">
        <f t="shared" si="3"/>
        <v>2033</v>
      </c>
      <c r="D35" s="347">
        <f>'ALL_ES-2. B&amp;C Summary Backup'!M23</f>
        <v>22181975.864045322</v>
      </c>
      <c r="E35" s="346">
        <f>'ALL_ES-2. B&amp;C Summary Backup'!N23</f>
        <v>9855603.3862262685</v>
      </c>
      <c r="F35" s="346">
        <f t="shared" si="0"/>
        <v>15557991.573967531</v>
      </c>
      <c r="G35" s="346"/>
      <c r="H35" s="345">
        <f>'ALL_ES-2. B&amp;C Summary Backup'!E69</f>
        <v>1048166.6666666667</v>
      </c>
      <c r="I35" s="346">
        <f t="shared" si="1"/>
        <v>465398.53527749743</v>
      </c>
      <c r="J35" s="346">
        <f t="shared" si="2"/>
        <v>735163.01108893484</v>
      </c>
    </row>
    <row r="36" spans="2:10">
      <c r="B36" s="344">
        <v>13</v>
      </c>
      <c r="C36" s="344">
        <f t="shared" si="3"/>
        <v>2034</v>
      </c>
      <c r="D36" s="347">
        <f>'ALL_ES-2. B&amp;C Summary Backup'!M24</f>
        <v>23657432.912584409</v>
      </c>
      <c r="E36" s="346">
        <f>'ALL_ES-2. B&amp;C Summary Backup'!N24</f>
        <v>9824684.7737925407</v>
      </c>
      <c r="F36" s="346">
        <f t="shared" si="0"/>
        <v>16109560.642623063</v>
      </c>
      <c r="G36" s="346"/>
      <c r="H36" s="345">
        <f>'ALL_ES-2. B&amp;C Summary Backup'!E70</f>
        <v>1048166.6666666667</v>
      </c>
      <c r="I36" s="346">
        <f t="shared" si="1"/>
        <v>434951.9021285022</v>
      </c>
      <c r="J36" s="346">
        <f t="shared" si="2"/>
        <v>713750.49620284932</v>
      </c>
    </row>
    <row r="37" spans="2:10">
      <c r="B37" s="344">
        <v>14</v>
      </c>
      <c r="C37" s="344">
        <f t="shared" si="3"/>
        <v>2035</v>
      </c>
      <c r="D37" s="347">
        <f>'ALL_ES-2. B&amp;C Summary Backup'!M25</f>
        <v>25132889.961123485</v>
      </c>
      <c r="E37" s="346">
        <f>'ALL_ES-2. B&amp;C Summary Backup'!N25</f>
        <v>9755827.6365637332</v>
      </c>
      <c r="F37" s="346">
        <f t="shared" si="0"/>
        <v>16615801.064978762</v>
      </c>
      <c r="G37" s="346"/>
      <c r="H37" s="345">
        <f>'ALL_ES-2. B&amp;C Summary Backup'!E71</f>
        <v>1048166.6666666667</v>
      </c>
      <c r="I37" s="346">
        <f t="shared" si="1"/>
        <v>406497.10479299276</v>
      </c>
      <c r="J37" s="346">
        <f t="shared" si="2"/>
        <v>692961.64679888275</v>
      </c>
    </row>
    <row r="38" spans="2:10">
      <c r="B38" s="344">
        <v>15</v>
      </c>
      <c r="C38" s="344">
        <f t="shared" si="3"/>
        <v>2036</v>
      </c>
      <c r="D38" s="347">
        <f>'ALL_ES-2. B&amp;C Summary Backup'!M26</f>
        <v>26608347.009662561</v>
      </c>
      <c r="E38" s="346">
        <f>'ALL_ES-2. B&amp;C Summary Backup'!N26</f>
        <v>9654125.6366386358</v>
      </c>
      <c r="F38" s="346">
        <f t="shared" si="0"/>
        <v>17078885.42862964</v>
      </c>
      <c r="G38" s="346"/>
      <c r="H38" s="345">
        <f>'ALL_ES-2. B&amp;C Summary Backup'!E72</f>
        <v>1048166.6666666667</v>
      </c>
      <c r="I38" s="346">
        <f t="shared" si="1"/>
        <v>379903.83625513338</v>
      </c>
      <c r="J38" s="346">
        <f t="shared" si="2"/>
        <v>672778.29786299297</v>
      </c>
    </row>
    <row r="39" spans="2:10">
      <c r="B39" s="344">
        <v>16</v>
      </c>
      <c r="C39" s="344">
        <f t="shared" si="3"/>
        <v>2037</v>
      </c>
      <c r="D39" s="347">
        <f>'ALL_ES-2. B&amp;C Summary Backup'!M27</f>
        <v>28083804.058201633</v>
      </c>
      <c r="E39" s="346">
        <f>'ALL_ES-2. B&amp;C Summary Backup'!N27</f>
        <v>9524168.3306267653</v>
      </c>
      <c r="F39" s="346">
        <f t="shared" si="0"/>
        <v>17500898.216606937</v>
      </c>
      <c r="G39" s="346"/>
      <c r="H39" s="345">
        <f>'ALL_ES-2. B&amp;C Summary Backup'!E73</f>
        <v>1048166.6666666667</v>
      </c>
      <c r="I39" s="346">
        <f t="shared" si="1"/>
        <v>355050.31425713404</v>
      </c>
      <c r="J39" s="346">
        <f t="shared" si="2"/>
        <v>653182.81345921662</v>
      </c>
    </row>
    <row r="40" spans="2:10">
      <c r="B40" s="344">
        <v>17</v>
      </c>
      <c r="C40" s="344">
        <f t="shared" si="3"/>
        <v>2038</v>
      </c>
      <c r="D40" s="347">
        <f>'ALL_ES-2. B&amp;C Summary Backup'!M28</f>
        <v>29559261.106740709</v>
      </c>
      <c r="E40" s="346">
        <f>'ALL_ES-2. B&amp;C Summary Backup'!N28</f>
        <v>9370085.3304040302</v>
      </c>
      <c r="F40" s="346">
        <f t="shared" si="0"/>
        <v>17883839.096597843</v>
      </c>
      <c r="G40" s="346"/>
      <c r="H40" s="345">
        <f>'ALL_ES-2. B&amp;C Summary Backup'!E74</f>
        <v>1048166.6666666667</v>
      </c>
      <c r="I40" s="346">
        <f t="shared" si="1"/>
        <v>331822.72360479814</v>
      </c>
      <c r="J40" s="346">
        <f t="shared" si="2"/>
        <v>634158.07131962781</v>
      </c>
    </row>
    <row r="41" spans="2:10">
      <c r="B41" s="344">
        <v>18</v>
      </c>
      <c r="C41" s="344">
        <f t="shared" si="3"/>
        <v>2039</v>
      </c>
      <c r="D41" s="347">
        <f>'ALL_ES-2. B&amp;C Summary Backup'!M29</f>
        <v>31034718.155279804</v>
      </c>
      <c r="E41" s="346">
        <f>'ALL_ES-2. B&amp;C Summary Backup'!N29</f>
        <v>9195586.8431524243</v>
      </c>
      <c r="F41" s="346">
        <f t="shared" si="0"/>
        <v>18229626.093302507</v>
      </c>
      <c r="G41" s="346"/>
      <c r="H41" s="345">
        <f>'ALL_ES-2. B&amp;C Summary Backup'!E75</f>
        <v>1048166.6666666667</v>
      </c>
      <c r="I41" s="346">
        <f t="shared" si="1"/>
        <v>310114.69495775527</v>
      </c>
      <c r="J41" s="346">
        <f t="shared" si="2"/>
        <v>615687.44788313378</v>
      </c>
    </row>
    <row r="42" spans="2:10">
      <c r="B42" s="344">
        <v>19</v>
      </c>
      <c r="C42" s="344">
        <f t="shared" si="3"/>
        <v>2040</v>
      </c>
      <c r="D42" s="347">
        <f>'ALL_ES-2. B&amp;C Summary Backup'!M30</f>
        <v>32510175.203818884</v>
      </c>
      <c r="E42" s="346">
        <f>'ALL_ES-2. B&amp;C Summary Backup'!N30</f>
        <v>9004000.8754280061</v>
      </c>
      <c r="F42" s="346">
        <f t="shared" si="0"/>
        <v>18540098.647945434</v>
      </c>
      <c r="G42" s="346"/>
      <c r="H42" s="345">
        <f>'ALL_ES-2. B&amp;C Summary Backup'!E76</f>
        <v>1048166.6666666667</v>
      </c>
      <c r="I42" s="346">
        <f t="shared" si="1"/>
        <v>289826.81771752826</v>
      </c>
      <c r="J42" s="346">
        <f t="shared" si="2"/>
        <v>597754.80377003283</v>
      </c>
    </row>
    <row r="43" spans="2:10">
      <c r="B43" s="344">
        <v>20</v>
      </c>
      <c r="C43" s="344">
        <f t="shared" si="3"/>
        <v>2041</v>
      </c>
      <c r="D43" s="347">
        <f>'ALL_ES-2. B&amp;C Summary Backup'!M31</f>
        <v>33985632.252357952</v>
      </c>
      <c r="E43" s="346">
        <f>'ALL_ES-2. B&amp;C Summary Backup'!N31</f>
        <v>8798307.364241166</v>
      </c>
      <c r="F43" s="346">
        <f t="shared" si="0"/>
        <v>18817020.568823718</v>
      </c>
      <c r="G43" s="346"/>
      <c r="H43" s="345">
        <f>'ALL_ES-2. B&amp;C Summary Backup'!E77</f>
        <v>1048166.6666666667</v>
      </c>
      <c r="I43" s="346">
        <f t="shared" si="1"/>
        <v>270866.1847827367</v>
      </c>
      <c r="J43" s="346">
        <f t="shared" si="2"/>
        <v>580344.46967964352</v>
      </c>
    </row>
    <row r="44" spans="2:10">
      <c r="B44" s="344">
        <v>21</v>
      </c>
      <c r="C44" s="344">
        <f t="shared" si="3"/>
        <v>2042</v>
      </c>
      <c r="D44" s="347">
        <f>'ALL_ES-2. B&amp;C Summary Backup'!M32</f>
        <v>35461089.300897032</v>
      </c>
      <c r="E44" s="346">
        <f>'ALL_ES-2. B&amp;C Summary Backup'!N32</f>
        <v>8581169.4780010451</v>
      </c>
      <c r="F44" s="346">
        <f t="shared" si="0"/>
        <v>19062082.876643825</v>
      </c>
      <c r="G44" s="346"/>
      <c r="H44" s="345">
        <f>'ALL_ES-2. B&amp;C Summary Backup'!E78</f>
        <v>1048166.6666666667</v>
      </c>
      <c r="I44" s="346">
        <f t="shared" si="1"/>
        <v>253145.96708666981</v>
      </c>
      <c r="J44" s="346">
        <f t="shared" si="2"/>
        <v>563441.23269868304</v>
      </c>
    </row>
    <row r="45" spans="2:10">
      <c r="B45" s="344">
        <v>22</v>
      </c>
      <c r="C45" s="344">
        <f t="shared" si="3"/>
        <v>2043</v>
      </c>
      <c r="D45" s="347">
        <f>'ALL_ES-2. B&amp;C Summary Backup'!M33</f>
        <v>36936546.349436104</v>
      </c>
      <c r="E45" s="346">
        <f>'ALL_ES-2. B&amp;C Summary Backup'!N33</f>
        <v>8354962.3115528058</v>
      </c>
      <c r="F45" s="346">
        <f t="shared" si="0"/>
        <v>19276906.548272744</v>
      </c>
      <c r="G45" s="346"/>
      <c r="H45" s="345">
        <f>'ALL_ES-2. B&amp;C Summary Backup'!E79</f>
        <v>1048166.6666666667</v>
      </c>
      <c r="I45" s="346">
        <f t="shared" si="1"/>
        <v>236585.01596885032</v>
      </c>
      <c r="J45" s="346">
        <f t="shared" si="2"/>
        <v>547030.32300843007</v>
      </c>
    </row>
    <row r="46" spans="2:10">
      <c r="B46" s="344">
        <v>23</v>
      </c>
      <c r="C46" s="344">
        <f t="shared" si="3"/>
        <v>2044</v>
      </c>
      <c r="D46" s="347">
        <f>'ALL_ES-2. B&amp;C Summary Backup'!M34</f>
        <v>38412003.397975184</v>
      </c>
      <c r="E46" s="346">
        <f>'ALL_ES-2. B&amp;C Summary Backup'!N34</f>
        <v>8121799.1823104024</v>
      </c>
      <c r="F46" s="346">
        <f t="shared" si="0"/>
        <v>19463045.162407417</v>
      </c>
      <c r="G46" s="346"/>
      <c r="H46" s="345">
        <f>'ALL_ES-2. B&amp;C Summary Backup'!E80</f>
        <v>1048166.6666666667</v>
      </c>
      <c r="I46" s="346">
        <f t="shared" si="1"/>
        <v>221107.49155967319</v>
      </c>
      <c r="J46" s="346">
        <f t="shared" si="2"/>
        <v>531097.40097905835</v>
      </c>
    </row>
    <row r="47" spans="2:10">
      <c r="B47" s="344">
        <v>24</v>
      </c>
      <c r="C47" s="344">
        <f t="shared" si="3"/>
        <v>2045</v>
      </c>
      <c r="D47" s="347">
        <f>'ALL_ES-2. B&amp;C Summary Backup'!M35</f>
        <v>39887460.446514256</v>
      </c>
      <c r="E47" s="346">
        <f>'ALL_ES-2. B&amp;C Summary Backup'!N35</f>
        <v>7883555.718555565</v>
      </c>
      <c r="F47" s="346">
        <f t="shared" si="0"/>
        <v>19621987.450548157</v>
      </c>
      <c r="G47" s="346"/>
      <c r="H47" s="345">
        <f>'ALL_ES-2. B&amp;C Summary Backup'!E81</f>
        <v>1048166.6666666667</v>
      </c>
      <c r="I47" s="346">
        <f t="shared" si="1"/>
        <v>206642.51547633007</v>
      </c>
      <c r="J47" s="346">
        <f t="shared" si="2"/>
        <v>515628.54463986255</v>
      </c>
    </row>
    <row r="48" spans="2:10">
      <c r="B48" s="344">
        <v>25</v>
      </c>
      <c r="C48" s="344">
        <f t="shared" si="3"/>
        <v>2046</v>
      </c>
      <c r="D48" s="347">
        <f>'ALL_ES-2. B&amp;C Summary Backup'!M36</f>
        <v>41362917.495053329</v>
      </c>
      <c r="E48" s="346">
        <f>'ALL_ES-2. B&amp;C Summary Backup'!N36</f>
        <v>7641891.9162407191</v>
      </c>
      <c r="F48" s="346">
        <f t="shared" si="0"/>
        <v>19755159.756548006</v>
      </c>
      <c r="G48" s="346"/>
      <c r="H48" s="345">
        <f>'ALL_ES-2. B&amp;C Summary Backup'!E82</f>
        <v>1048166.6666666667</v>
      </c>
      <c r="I48" s="346">
        <f t="shared" si="1"/>
        <v>193123.84623956081</v>
      </c>
      <c r="J48" s="346">
        <f t="shared" si="2"/>
        <v>500610.23751442967</v>
      </c>
    </row>
    <row r="49" spans="2:10">
      <c r="B49" s="344">
        <v>26</v>
      </c>
      <c r="C49" s="344">
        <f t="shared" si="3"/>
        <v>2047</v>
      </c>
      <c r="D49" s="347">
        <f>'ALL_ES-2. B&amp;C Summary Backup'!M37</f>
        <v>42838374.543592431</v>
      </c>
      <c r="E49" s="346">
        <f>'ALL_ES-2. B&amp;C Summary Backup'!N37</f>
        <v>7398272.3270101566</v>
      </c>
      <c r="F49" s="346">
        <f t="shared" si="0"/>
        <v>19863928.407899659</v>
      </c>
      <c r="G49" s="346"/>
      <c r="H49" s="345">
        <f>'ALL_ES-2. B&amp;C Summary Backup'!E83</f>
        <v>1048166.6666666667</v>
      </c>
      <c r="I49" s="346">
        <f t="shared" si="1"/>
        <v>180489.57592482318</v>
      </c>
      <c r="J49" s="346">
        <f t="shared" si="2"/>
        <v>486029.35681012581</v>
      </c>
    </row>
    <row r="50" spans="2:10">
      <c r="B50" s="344">
        <v>27</v>
      </c>
      <c r="C50" s="344">
        <f t="shared" si="3"/>
        <v>2048</v>
      </c>
      <c r="D50" s="347">
        <f>'ALL_ES-2. B&amp;C Summary Backup'!M38</f>
        <v>44313831.592131503</v>
      </c>
      <c r="E50" s="346">
        <f>'ALL_ES-2. B&amp;C Summary Backup'!N38</f>
        <v>7153984.5275583854</v>
      </c>
      <c r="F50" s="346">
        <f t="shared" si="0"/>
        <v>19949602.001814764</v>
      </c>
      <c r="G50" s="346"/>
      <c r="H50" s="345">
        <f>'ALL_ES-2. B&amp;C Summary Backup'!E84</f>
        <v>1048166.6666666667</v>
      </c>
      <c r="I50" s="346">
        <f t="shared" si="1"/>
        <v>168681.84665871324</v>
      </c>
      <c r="J50" s="346">
        <f t="shared" si="2"/>
        <v>471873.16195157851</v>
      </c>
    </row>
    <row r="51" spans="2:10">
      <c r="B51" s="344">
        <v>28</v>
      </c>
      <c r="C51" s="344">
        <f t="shared" si="3"/>
        <v>2049</v>
      </c>
      <c r="D51" s="347">
        <f>'ALL_ES-2. B&amp;C Summary Backup'!M39</f>
        <v>45789288.640670583</v>
      </c>
      <c r="E51" s="346">
        <f>'ALL_ES-2. B&amp;C Summary Backup'!N39</f>
        <v>6910156.0088008745</v>
      </c>
      <c r="F51" s="346">
        <f t="shared" si="0"/>
        <v>20013433.609047748</v>
      </c>
      <c r="G51" s="346"/>
      <c r="H51" s="345">
        <f>'ALL_ES-2. B&amp;C Summary Backup'!E85</f>
        <v>1048166.6666666667</v>
      </c>
      <c r="I51" s="346">
        <f t="shared" si="1"/>
        <v>157646.58566234884</v>
      </c>
      <c r="J51" s="346">
        <f t="shared" si="2"/>
        <v>458129.28344813443</v>
      </c>
    </row>
    <row r="52" spans="2:10">
      <c r="B52" s="344">
        <v>29</v>
      </c>
      <c r="C52" s="344">
        <f t="shared" si="3"/>
        <v>2050</v>
      </c>
      <c r="D52" s="347">
        <f>'ALL_ES-2. B&amp;C Summary Backup'!M40</f>
        <v>47264745.689209647</v>
      </c>
      <c r="E52" s="346">
        <f>'ALL_ES-2. B&amp;C Summary Backup'!N40</f>
        <v>6667769.6125692911</v>
      </c>
      <c r="F52" s="346">
        <f t="shared" si="0"/>
        <v>20056622.898316141</v>
      </c>
      <c r="G52" s="346"/>
      <c r="H52" s="345">
        <f>'ALL_ES-2. B&amp;C Summary Backup'!E86</f>
        <v>1048166.6666666667</v>
      </c>
      <c r="I52" s="346">
        <f t="shared" si="1"/>
        <v>147333.25762836341</v>
      </c>
      <c r="J52" s="346">
        <f t="shared" si="2"/>
        <v>444785.71208556747</v>
      </c>
    </row>
    <row r="53" spans="2:10">
      <c r="B53" s="344">
        <v>30</v>
      </c>
      <c r="C53" s="344">
        <f t="shared" si="3"/>
        <v>2051</v>
      </c>
      <c r="D53" s="347">
        <f>'ALL_ES-2. B&amp;C Summary Backup'!M41</f>
        <v>48740202.737748735</v>
      </c>
      <c r="E53" s="346">
        <f>'ALL_ES-2. B&amp;C Summary Backup'!N41</f>
        <v>6427677.6335964818</v>
      </c>
      <c r="F53" s="346">
        <f t="shared" si="0"/>
        <v>20080318.184073437</v>
      </c>
      <c r="G53" s="346"/>
      <c r="H53" s="345">
        <f>'ALL_ES-2. B&amp;C Summary Backup'!E87</f>
        <v>1048166.6666666667</v>
      </c>
      <c r="I53" s="346">
        <f t="shared" si="1"/>
        <v>137694.63329753588</v>
      </c>
      <c r="J53" s="346">
        <f t="shared" si="2"/>
        <v>431830.78843258979</v>
      </c>
    </row>
    <row r="54" spans="2:10">
      <c r="B54" s="344">
        <v>31</v>
      </c>
      <c r="C54" s="344">
        <f t="shared" si="3"/>
        <v>2052</v>
      </c>
      <c r="D54" s="347">
        <f>'ALL_ES-2. B&amp;C Summary Backup'!M42</f>
        <v>50215659.786287814</v>
      </c>
      <c r="E54" s="346">
        <f>'ALL_ES-2. B&amp;C Summary Backup'!N42</f>
        <v>6190614.6953637572</v>
      </c>
      <c r="F54" s="346">
        <f t="shared" si="0"/>
        <v>20085618.400297042</v>
      </c>
      <c r="G54" s="346"/>
      <c r="H54" s="345">
        <f>'ALL_ES-2. B&amp;C Summary Backup'!E88</f>
        <v>1048166.6666666667</v>
      </c>
      <c r="I54" s="346">
        <f t="shared" si="1"/>
        <v>128686.57317526717</v>
      </c>
      <c r="J54" s="346">
        <f t="shared" si="2"/>
        <v>419253.19265299971</v>
      </c>
    </row>
    <row r="55" spans="2:10">
      <c r="B55" s="344">
        <v>32</v>
      </c>
      <c r="C55" s="344">
        <f t="shared" si="3"/>
        <v>2053</v>
      </c>
      <c r="D55" s="347">
        <f>'ALL_ES-2. B&amp;C Summary Backup'!M43</f>
        <v>51691116.834826894</v>
      </c>
      <c r="E55" s="346">
        <f>'ALL_ES-2. B&amp;C Summary Backup'!N43</f>
        <v>5957209.4998897444</v>
      </c>
      <c r="F55" s="346">
        <f t="shared" si="0"/>
        <v>20073575.002864055</v>
      </c>
      <c r="G55" s="346"/>
      <c r="H55" s="345">
        <f>'ALL_ES-2. B&amp;C Summary Backup'!E89</f>
        <v>1048166.6666666667</v>
      </c>
      <c r="I55" s="346">
        <f t="shared" si="1"/>
        <v>120267.82539744597</v>
      </c>
      <c r="J55" s="346">
        <f t="shared" si="2"/>
        <v>407041.9346145629</v>
      </c>
    </row>
    <row r="56" spans="2:10">
      <c r="B56" s="344">
        <v>33</v>
      </c>
      <c r="C56" s="344">
        <f t="shared" si="3"/>
        <v>2054</v>
      </c>
      <c r="D56" s="347">
        <f>'ALL_ES-2. B&amp;C Summary Backup'!M44</f>
        <v>53166573.883365981</v>
      </c>
      <c r="E56" s="346">
        <f>'ALL_ES-2. B&amp;C Summary Backup'!N44</f>
        <v>5727995.5436928943</v>
      </c>
      <c r="F56" s="346">
        <f t="shared" si="0"/>
        <v>20045193.803000197</v>
      </c>
      <c r="G56" s="346"/>
      <c r="H56" s="345">
        <f>'ALL_ES-2. B&amp;C Summary Backup'!E90</f>
        <v>1048166.6666666667</v>
      </c>
      <c r="I56" s="346">
        <f t="shared" si="1"/>
        <v>112399.83682004295</v>
      </c>
      <c r="J56" s="346">
        <f t="shared" si="2"/>
        <v>395186.34428598342</v>
      </c>
    </row>
    <row r="57" spans="2:10">
      <c r="B57" s="344">
        <v>34</v>
      </c>
      <c r="C57" s="344">
        <f t="shared" si="3"/>
        <v>2055</v>
      </c>
      <c r="D57" s="347">
        <f>'ALL_ES-2. B&amp;C Summary Backup'!M45</f>
        <v>54642030.931905046</v>
      </c>
      <c r="E57" s="346">
        <f>'ALL_ES-2. B&amp;C Summary Backup'!N45</f>
        <v>5503420.884911323</v>
      </c>
      <c r="F57" s="346">
        <f t="shared" si="0"/>
        <v>20001436.734203365</v>
      </c>
      <c r="G57" s="346"/>
      <c r="H57" s="345">
        <f>'ALL_ES-2. B&amp;C Summary Backup'!E91</f>
        <v>1048166.6666666667</v>
      </c>
      <c r="I57" s="346">
        <f t="shared" si="1"/>
        <v>105046.57646732987</v>
      </c>
      <c r="J57" s="346">
        <f t="shared" si="2"/>
        <v>383676.06241357618</v>
      </c>
    </row>
    <row r="58" spans="2:10">
      <c r="B58" s="344">
        <v>35</v>
      </c>
      <c r="C58" s="344">
        <f t="shared" si="3"/>
        <v>2056</v>
      </c>
      <c r="D58" s="347">
        <f>'ALL_ES-2. B&amp;C Summary Backup'!M46</f>
        <v>56107639.461864211</v>
      </c>
      <c r="E58" s="346">
        <f>'ALL_ES-2. B&amp;C Summary Backup'!N46</f>
        <v>5282934.598674003</v>
      </c>
      <c r="F58" s="346">
        <f t="shared" si="0"/>
        <v>19939723.554965261</v>
      </c>
      <c r="G58" s="346"/>
      <c r="H58" s="345">
        <f>'ALL_ES-2. B&amp;C Summary Backup'!E92</f>
        <v>1048166.6666666667</v>
      </c>
      <c r="I58" s="346">
        <f t="shared" si="1"/>
        <v>98174.37053021483</v>
      </c>
      <c r="J58" s="346">
        <f t="shared" si="2"/>
        <v>372501.03146949137</v>
      </c>
    </row>
    <row r="59" spans="2:10">
      <c r="B59" s="344">
        <v>36</v>
      </c>
      <c r="C59" s="344">
        <f t="shared" si="3"/>
        <v>2057</v>
      </c>
      <c r="D59" s="347">
        <f>'ALL_ES-2. B&amp;C Summary Backup'!M47</f>
        <v>56131944.447965644</v>
      </c>
      <c r="E59" s="346">
        <f>'ALL_ES-2. B&amp;C Summary Backup'!N47</f>
        <v>4941717.7276831446</v>
      </c>
      <c r="F59" s="346">
        <f t="shared" si="0"/>
        <v>19367340.916028813</v>
      </c>
      <c r="G59" s="346"/>
      <c r="H59" s="345">
        <f>'ALL_ES-2. B&amp;C Summary Backup'!E93</f>
        <v>1048166.6666666667</v>
      </c>
      <c r="I59" s="346">
        <f t="shared" si="1"/>
        <v>91751.748159079274</v>
      </c>
      <c r="J59" s="346">
        <f t="shared" si="2"/>
        <v>361651.48686358385</v>
      </c>
    </row>
    <row r="60" spans="2:10">
      <c r="B60" t="s">
        <v>28</v>
      </c>
      <c r="C60"/>
      <c r="D60" s="176">
        <f>SUBTOTAL(109,Table76134[Present Value (PV) Project Benefits])</f>
        <v>1095468243.4115496</v>
      </c>
      <c r="E60" s="176">
        <f>SUBTOTAL(109,Table76134[Project Benefits at 7% Discount Rate*])</f>
        <v>248841254.66081029</v>
      </c>
      <c r="F60" s="176">
        <f>SUBTOTAL(109,Table76134[Project Benefits at 3% Discount Rate])</f>
        <v>549850252.82351613</v>
      </c>
      <c r="G60" s="176"/>
      <c r="H60" s="345">
        <f>SUBTOTAL(109,Table77135[Present Value (PV) Project Costs])</f>
        <v>166444999.9999997</v>
      </c>
      <c r="I60" s="347">
        <f>SUBTOTAL(109,Table77135[Project Costs at 7% Discount Rate])</f>
        <v>114160328.08344837</v>
      </c>
      <c r="J60" s="347">
        <f>SUBTOTAL(109,Table77135[Project Costs at 3% Discount Rate])</f>
        <v>138330872.72817928</v>
      </c>
    </row>
    <row r="61" spans="2:10">
      <c r="G61" s="67"/>
    </row>
  </sheetData>
  <mergeCells count="3">
    <mergeCell ref="A1:J1"/>
    <mergeCell ref="A6:J6"/>
    <mergeCell ref="B21:D21"/>
  </mergeCells>
  <pageMargins left="0.7" right="0.7" top="0.75" bottom="0.75" header="0.3" footer="0.3"/>
  <pageSetup paperSize="3" scale="50" orientation="landscape" r:id="rId1"/>
  <drawing r:id="rId2"/>
  <tableParts count="3">
    <tablePart r:id="rId3"/>
    <tablePart r:id="rId4"/>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E0B2C-50D8-4016-84E0-8386C142AE3F}">
  <sheetPr>
    <tabColor theme="2" tint="-9.9978637043366805E-2"/>
    <pageSetUpPr fitToPage="1"/>
  </sheetPr>
  <dimension ref="A1:X98"/>
  <sheetViews>
    <sheetView showGridLines="0" topLeftCell="A63" zoomScale="70" zoomScaleNormal="70" workbookViewId="0">
      <selection activeCell="D102" sqref="D101:D102"/>
    </sheetView>
  </sheetViews>
  <sheetFormatPr defaultColWidth="9.140625" defaultRowHeight="12.75"/>
  <cols>
    <col min="1" max="1" width="17" style="82" customWidth="1"/>
    <col min="2" max="2" width="17.5703125" style="82" customWidth="1"/>
    <col min="3" max="3" width="18.5703125" style="82" bestFit="1" customWidth="1"/>
    <col min="4" max="4" width="17.85546875" style="82" bestFit="1" customWidth="1"/>
    <col min="5" max="5" width="19.28515625" style="82" bestFit="1" customWidth="1"/>
    <col min="6" max="6" width="22.5703125" style="82" bestFit="1" customWidth="1"/>
    <col min="7" max="7" width="20.140625" style="82" bestFit="1" customWidth="1"/>
    <col min="8" max="8" width="20.140625" style="82" customWidth="1"/>
    <col min="9" max="9" width="18.85546875" style="82" bestFit="1" customWidth="1"/>
    <col min="10" max="10" width="18.5703125" style="82" bestFit="1" customWidth="1"/>
    <col min="11" max="11" width="17.140625" style="82" bestFit="1" customWidth="1"/>
    <col min="12" max="12" width="17.42578125" style="82" bestFit="1" customWidth="1"/>
    <col min="13" max="13" width="22" style="82" bestFit="1" customWidth="1"/>
    <col min="14" max="14" width="20.5703125" style="82" bestFit="1" customWidth="1"/>
    <col min="15" max="15" width="22" style="82" bestFit="1" customWidth="1"/>
    <col min="16" max="17" width="20.140625" style="82" bestFit="1" customWidth="1"/>
    <col min="18" max="18" width="14" style="82" bestFit="1" customWidth="1"/>
    <col min="19" max="19" width="18.28515625" style="82" customWidth="1"/>
    <col min="20" max="22" width="16.28515625" style="82" customWidth="1"/>
    <col min="23" max="24" width="19" style="82" customWidth="1"/>
    <col min="25" max="25" width="9.140625" style="82"/>
    <col min="26" max="26" width="27" style="82" customWidth="1"/>
    <col min="27" max="16384" width="9.140625" style="82"/>
  </cols>
  <sheetData>
    <row r="1" spans="1:24" ht="15" customHeight="1">
      <c r="A1" s="455" t="s">
        <v>0</v>
      </c>
      <c r="B1" s="455"/>
      <c r="C1" s="455"/>
      <c r="D1" s="455"/>
      <c r="E1" s="455"/>
      <c r="F1" s="455"/>
      <c r="G1" s="455"/>
      <c r="H1" s="455"/>
      <c r="I1" s="455"/>
      <c r="J1" s="455"/>
      <c r="K1" s="455"/>
      <c r="L1" s="455"/>
      <c r="M1" s="455"/>
      <c r="N1" s="455"/>
      <c r="O1" s="455"/>
    </row>
    <row r="2" spans="1:24" ht="15" customHeight="1">
      <c r="A2" s="62" t="s">
        <v>1</v>
      </c>
      <c r="B2" s="63" t="str">
        <f>Project_Name</f>
        <v>Completing the I-95 Missing Move and Quonset Connector Ramps</v>
      </c>
      <c r="C2" s="61"/>
      <c r="D2" s="61"/>
      <c r="E2" s="61"/>
      <c r="F2" s="61"/>
      <c r="G2" s="61"/>
      <c r="H2" s="61"/>
      <c r="I2" s="61"/>
      <c r="J2" s="61"/>
      <c r="K2" s="61"/>
    </row>
    <row r="3" spans="1:24" ht="15" customHeight="1">
      <c r="A3" s="62" t="s">
        <v>2</v>
      </c>
      <c r="B3" s="63" t="s">
        <v>29</v>
      </c>
      <c r="C3" s="61"/>
      <c r="D3" s="61"/>
      <c r="E3" s="61"/>
      <c r="F3" s="61"/>
      <c r="G3" s="61"/>
      <c r="H3" s="61"/>
      <c r="I3" s="61"/>
      <c r="J3" s="61"/>
      <c r="K3" s="61"/>
    </row>
    <row r="4" spans="1:24" ht="15" customHeight="1">
      <c r="A4" s="62" t="s">
        <v>4</v>
      </c>
      <c r="B4" s="64">
        <f>Date</f>
        <v>45159</v>
      </c>
      <c r="C4" s="61"/>
      <c r="D4" s="61"/>
      <c r="E4" s="61"/>
      <c r="F4" s="61"/>
      <c r="G4" s="61"/>
      <c r="H4" s="61"/>
      <c r="I4" s="61"/>
      <c r="J4" s="61"/>
      <c r="K4" s="61"/>
    </row>
    <row r="5" spans="1:24" ht="30" customHeight="1">
      <c r="A5" s="62"/>
      <c r="B5" s="65"/>
      <c r="C5" s="61"/>
      <c r="D5" s="61"/>
      <c r="E5" s="61"/>
      <c r="F5" s="61"/>
      <c r="G5" s="61"/>
      <c r="H5" s="61"/>
      <c r="I5" s="61"/>
      <c r="J5" s="61"/>
      <c r="K5" s="61"/>
    </row>
    <row r="6" spans="1:24" ht="30" customHeight="1" thickBot="1">
      <c r="A6" s="62"/>
      <c r="B6" s="65"/>
      <c r="C6" s="61"/>
      <c r="D6" s="61"/>
      <c r="E6" s="61"/>
      <c r="F6" s="61"/>
      <c r="G6" s="61"/>
      <c r="H6" s="61"/>
      <c r="I6" s="61"/>
      <c r="J6" s="61"/>
      <c r="K6" s="61"/>
    </row>
    <row r="7" spans="1:24" ht="136.5" customHeight="1" thickBot="1">
      <c r="A7" s="460" t="s">
        <v>30</v>
      </c>
      <c r="B7" s="457"/>
      <c r="C7" s="457"/>
      <c r="D7" s="457"/>
      <c r="E7" s="457"/>
      <c r="F7" s="457"/>
      <c r="G7" s="457"/>
      <c r="H7" s="457"/>
      <c r="I7" s="457"/>
      <c r="J7" s="457"/>
      <c r="K7" s="457"/>
      <c r="L7" s="457"/>
      <c r="M7" s="457"/>
      <c r="N7" s="457"/>
      <c r="O7" s="458"/>
    </row>
    <row r="9" spans="1:24">
      <c r="A9" s="71" t="s">
        <v>31</v>
      </c>
      <c r="B9" s="71"/>
      <c r="C9" s="71"/>
      <c r="D9" s="71"/>
      <c r="E9" s="71"/>
      <c r="F9" s="71"/>
      <c r="G9" s="71"/>
      <c r="H9" s="71"/>
      <c r="I9" s="71"/>
      <c r="J9" s="71"/>
      <c r="K9" s="71"/>
      <c r="L9" s="71"/>
      <c r="M9" s="71"/>
      <c r="N9" s="71"/>
      <c r="O9" s="71"/>
      <c r="P9" s="71"/>
      <c r="Q9" s="71"/>
      <c r="R9" s="71"/>
      <c r="S9" s="71"/>
      <c r="T9" s="71"/>
      <c r="U9" s="71"/>
      <c r="V9" s="71"/>
      <c r="W9" s="71"/>
      <c r="X9" s="71"/>
    </row>
    <row r="10" spans="1:24">
      <c r="A10" s="349"/>
      <c r="B10" s="349"/>
      <c r="C10" s="349"/>
      <c r="D10" s="349"/>
      <c r="E10" s="349"/>
      <c r="F10" s="349"/>
      <c r="G10" s="349"/>
      <c r="H10" s="349"/>
      <c r="I10" s="349"/>
      <c r="J10" s="349"/>
      <c r="K10" s="349"/>
      <c r="L10" s="349"/>
      <c r="M10" s="349"/>
      <c r="N10" s="349"/>
      <c r="O10" s="349"/>
      <c r="P10" s="71"/>
      <c r="Q10" s="71"/>
      <c r="R10" s="71"/>
      <c r="S10" s="71"/>
      <c r="T10" s="71"/>
      <c r="U10" s="71"/>
      <c r="V10" s="71"/>
      <c r="W10" s="71"/>
      <c r="X10" s="71"/>
    </row>
    <row r="11" spans="1:24" s="89" customFormat="1" ht="52.5">
      <c r="A11" s="255" t="s">
        <v>32</v>
      </c>
      <c r="B11" s="255" t="s">
        <v>21</v>
      </c>
      <c r="C11" s="331" t="s">
        <v>33</v>
      </c>
      <c r="D11" s="255" t="s">
        <v>34</v>
      </c>
      <c r="E11" s="255" t="s">
        <v>35</v>
      </c>
      <c r="F11" s="255" t="s">
        <v>36</v>
      </c>
      <c r="G11" s="332" t="s">
        <v>37</v>
      </c>
      <c r="H11" s="255" t="s">
        <v>38</v>
      </c>
      <c r="I11" s="255" t="s">
        <v>39</v>
      </c>
      <c r="J11" s="255" t="s">
        <v>40</v>
      </c>
      <c r="K11" s="255" t="s">
        <v>41</v>
      </c>
      <c r="L11" s="255" t="s">
        <v>42</v>
      </c>
      <c r="M11" s="333" t="s">
        <v>43</v>
      </c>
      <c r="N11" s="334" t="s">
        <v>44</v>
      </c>
      <c r="O11" s="335" t="s">
        <v>45</v>
      </c>
    </row>
    <row r="12" spans="1:24">
      <c r="A12" s="112">
        <v>1</v>
      </c>
      <c r="B12" s="112">
        <f>First_Year</f>
        <v>2023</v>
      </c>
      <c r="C12" s="180">
        <f>'MM_ES-2. B&amp;C Summary Backup'!C12+'Q_ES-2. B&amp;C Summary Backup'!C12</f>
        <v>0</v>
      </c>
      <c r="D12" s="181">
        <f>'MM_ES-2. B&amp;C Summary Backup'!D12+'Q_ES-2. B&amp;C Summary Backup'!D12</f>
        <v>0</v>
      </c>
      <c r="E12" s="181">
        <f>'MM_ES-2. B&amp;C Summary Backup'!E12+'Q_ES-2. B&amp;C Summary Backup'!E12</f>
        <v>0</v>
      </c>
      <c r="F12" s="181">
        <f>'MM_ES-2. B&amp;C Summary Backup'!F12+'Q_ES-2. B&amp;C Summary Backup'!F12</f>
        <v>0</v>
      </c>
      <c r="G12" s="182">
        <f>'MM_ES-2. B&amp;C Summary Backup'!G12+'Q_ES-2. B&amp;C Summary Backup'!G12</f>
        <v>0</v>
      </c>
      <c r="H12" s="454">
        <f>'MM_ES-2. B&amp;C Summary Backup'!H12+'Q_ES-2. B&amp;C Summary Backup'!H12</f>
        <v>0</v>
      </c>
      <c r="I12" s="181">
        <f>'MM_ES-2. B&amp;C Summary Backup'!I12+'Q_ES-2. B&amp;C Summary Backup'!I12</f>
        <v>0</v>
      </c>
      <c r="J12" s="181">
        <f>'MM_ES-2. B&amp;C Summary Backup'!J12+'Q_ES-2. B&amp;C Summary Backup'!J12</f>
        <v>0</v>
      </c>
      <c r="K12" s="181">
        <f>'MM_ES-2. B&amp;C Summary Backup'!K12+'Q_ES-2. B&amp;C Summary Backup'!K12</f>
        <v>0</v>
      </c>
      <c r="L12" s="181">
        <f>'MM_ES-2. B&amp;C Summary Backup'!L12+'Q_ES-2. B&amp;C Summary Backup'!L12</f>
        <v>0</v>
      </c>
      <c r="M12" s="183">
        <f t="shared" ref="M12:M51" si="0">SUM(C12:L12)</f>
        <v>0</v>
      </c>
      <c r="N12" s="184">
        <f>(($M12-$E12)/((1+'MM_ES-1. Executive Summary'!$F$12)^$A12))+($E12/(1+'MM_ES-1. Executive Summary'!$F$13)^$A12)</f>
        <v>0</v>
      </c>
      <c r="O12" s="185">
        <f>$M12/((1+'MM_ES-1. Executive Summary'!$F$13)^$A12)</f>
        <v>0</v>
      </c>
    </row>
    <row r="13" spans="1:24">
      <c r="A13" s="112">
        <f>A12+1</f>
        <v>2</v>
      </c>
      <c r="B13" s="112">
        <f t="shared" ref="B13:B51" si="1">IFERROR(IF(B12+1&lt;Last_Year+1,B12+1,""),"")</f>
        <v>2024</v>
      </c>
      <c r="C13" s="180">
        <f>'MM_ES-2. B&amp;C Summary Backup'!C13+'Q_ES-2. B&amp;C Summary Backup'!C13</f>
        <v>0</v>
      </c>
      <c r="D13" s="181">
        <f>'MM_ES-2. B&amp;C Summary Backup'!D13+'Q_ES-2. B&amp;C Summary Backup'!D13</f>
        <v>0</v>
      </c>
      <c r="E13" s="181">
        <f>'MM_ES-2. B&amp;C Summary Backup'!E13+'Q_ES-2. B&amp;C Summary Backup'!E13</f>
        <v>0</v>
      </c>
      <c r="F13" s="181">
        <f>'MM_ES-2. B&amp;C Summary Backup'!F13+'Q_ES-2. B&amp;C Summary Backup'!F13</f>
        <v>0</v>
      </c>
      <c r="G13" s="182">
        <f>'MM_ES-2. B&amp;C Summary Backup'!G13+'Q_ES-2. B&amp;C Summary Backup'!G13</f>
        <v>0</v>
      </c>
      <c r="H13" s="180">
        <f>'MM_ES-2. B&amp;C Summary Backup'!H13+'Q_ES-2. B&amp;C Summary Backup'!H13</f>
        <v>-113871.33997340442</v>
      </c>
      <c r="I13" s="181">
        <f>'MM_ES-2. B&amp;C Summary Backup'!I13+'Q_ES-2. B&amp;C Summary Backup'!I13</f>
        <v>0</v>
      </c>
      <c r="J13" s="181">
        <f>'MM_ES-2. B&amp;C Summary Backup'!J13+'Q_ES-2. B&amp;C Summary Backup'!J13</f>
        <v>0</v>
      </c>
      <c r="K13" s="181">
        <f>'MM_ES-2. B&amp;C Summary Backup'!K13+'Q_ES-2. B&amp;C Summary Backup'!K13</f>
        <v>0</v>
      </c>
      <c r="L13" s="181">
        <f>'MM_ES-2. B&amp;C Summary Backup'!L13+'Q_ES-2. B&amp;C Summary Backup'!L13</f>
        <v>0</v>
      </c>
      <c r="M13" s="183">
        <f t="shared" si="0"/>
        <v>-113871.33997340442</v>
      </c>
      <c r="N13" s="184">
        <f>(($M13-$E13)/((1+'MM_ES-1. Executive Summary'!$F$12)^$A13))+($E13/(1+'MM_ES-1. Executive Summary'!$F$13)^$A13)</f>
        <v>-99459.638373136884</v>
      </c>
      <c r="O13" s="185">
        <f>$M13/((1+'MM_ES-1. Executive Summary'!$F$13)^$A13)</f>
        <v>-107334.65922650998</v>
      </c>
    </row>
    <row r="14" spans="1:24">
      <c r="A14" s="112">
        <f t="shared" ref="A14:A51" si="2">A13+1</f>
        <v>3</v>
      </c>
      <c r="B14" s="112">
        <f t="shared" si="1"/>
        <v>2025</v>
      </c>
      <c r="C14" s="180">
        <f>'MM_ES-2. B&amp;C Summary Backup'!C14+'Q_ES-2. B&amp;C Summary Backup'!C14</f>
        <v>0</v>
      </c>
      <c r="D14" s="181">
        <f>'MM_ES-2. B&amp;C Summary Backup'!D14+'Q_ES-2. B&amp;C Summary Backup'!D14</f>
        <v>0</v>
      </c>
      <c r="E14" s="181">
        <f>'MM_ES-2. B&amp;C Summary Backup'!E14+'Q_ES-2. B&amp;C Summary Backup'!E14</f>
        <v>0</v>
      </c>
      <c r="F14" s="181">
        <f>'MM_ES-2. B&amp;C Summary Backup'!F14+'Q_ES-2. B&amp;C Summary Backup'!F14</f>
        <v>0</v>
      </c>
      <c r="G14" s="182">
        <f>'MM_ES-2. B&amp;C Summary Backup'!G14+'Q_ES-2. B&amp;C Summary Backup'!G14</f>
        <v>0</v>
      </c>
      <c r="H14" s="180">
        <f>'MM_ES-2. B&amp;C Summary Backup'!H14+'Q_ES-2. B&amp;C Summary Backup'!H14</f>
        <v>-498662.78081123548</v>
      </c>
      <c r="I14" s="181">
        <f>'MM_ES-2. B&amp;C Summary Backup'!I14+'Q_ES-2. B&amp;C Summary Backup'!I14</f>
        <v>0</v>
      </c>
      <c r="J14" s="181">
        <f>'MM_ES-2. B&amp;C Summary Backup'!J14+'Q_ES-2. B&amp;C Summary Backup'!J14</f>
        <v>0</v>
      </c>
      <c r="K14" s="181">
        <f>'MM_ES-2. B&amp;C Summary Backup'!K14+'Q_ES-2. B&amp;C Summary Backup'!K14</f>
        <v>0</v>
      </c>
      <c r="L14" s="181">
        <f>'MM_ES-2. B&amp;C Summary Backup'!L14+'Q_ES-2. B&amp;C Summary Backup'!L14</f>
        <v>0</v>
      </c>
      <c r="M14" s="183">
        <f t="shared" si="0"/>
        <v>-498662.78081123548</v>
      </c>
      <c r="N14" s="184">
        <f>(($M14-$E14)/((1+'MM_ES-1. Executive Summary'!$F$12)^$A14))+($E14/(1+'MM_ES-1. Executive Summary'!$F$13)^$A14)</f>
        <v>-407057.36926069978</v>
      </c>
      <c r="O14" s="185">
        <f>$M14/((1+'MM_ES-1. Executive Summary'!$F$13)^$A14)</f>
        <v>-456347.08468925493</v>
      </c>
    </row>
    <row r="15" spans="1:24">
      <c r="A15" s="112">
        <f t="shared" si="2"/>
        <v>4</v>
      </c>
      <c r="B15" s="112">
        <f t="shared" si="1"/>
        <v>2026</v>
      </c>
      <c r="C15" s="180">
        <f>'MM_ES-2. B&amp;C Summary Backup'!C15+'Q_ES-2. B&amp;C Summary Backup'!C15</f>
        <v>0</v>
      </c>
      <c r="D15" s="181">
        <f>'MM_ES-2. B&amp;C Summary Backup'!D15+'Q_ES-2. B&amp;C Summary Backup'!D15</f>
        <v>0</v>
      </c>
      <c r="E15" s="181">
        <f>'MM_ES-2. B&amp;C Summary Backup'!E15+'Q_ES-2. B&amp;C Summary Backup'!E15</f>
        <v>0</v>
      </c>
      <c r="F15" s="181">
        <f>'MM_ES-2. B&amp;C Summary Backup'!F15+'Q_ES-2. B&amp;C Summary Backup'!F15</f>
        <v>0</v>
      </c>
      <c r="G15" s="182">
        <f>'MM_ES-2. B&amp;C Summary Backup'!G15+'Q_ES-2. B&amp;C Summary Backup'!G15</f>
        <v>0</v>
      </c>
      <c r="H15" s="180">
        <f>'MM_ES-2. B&amp;C Summary Backup'!H15+'Q_ES-2. B&amp;C Summary Backup'!H15</f>
        <v>-628195.04356408888</v>
      </c>
      <c r="I15" s="181">
        <f>'MM_ES-2. B&amp;C Summary Backup'!I15+'Q_ES-2. B&amp;C Summary Backup'!I15</f>
        <v>0</v>
      </c>
      <c r="J15" s="181">
        <f>'MM_ES-2. B&amp;C Summary Backup'!J15+'Q_ES-2. B&amp;C Summary Backup'!J15</f>
        <v>0</v>
      </c>
      <c r="K15" s="181">
        <f>'MM_ES-2. B&amp;C Summary Backup'!K15+'Q_ES-2. B&amp;C Summary Backup'!K15</f>
        <v>0</v>
      </c>
      <c r="L15" s="181">
        <f>'MM_ES-2. B&amp;C Summary Backup'!L15+'Q_ES-2. B&amp;C Summary Backup'!L15</f>
        <v>0</v>
      </c>
      <c r="M15" s="183">
        <f t="shared" si="0"/>
        <v>-628195.04356408888</v>
      </c>
      <c r="N15" s="184">
        <f>(($M15-$E15)/((1+'MM_ES-1. Executive Summary'!$F$12)^$A15))+($E15/(1+'MM_ES-1. Executive Summary'!$F$13)^$A15)</f>
        <v>-479246.99096702994</v>
      </c>
      <c r="O15" s="185">
        <f>$M15/((1+'MM_ES-1. Executive Summary'!$F$13)^$A15)</f>
        <v>-558143.15977152495</v>
      </c>
    </row>
    <row r="16" spans="1:24">
      <c r="A16" s="113">
        <f t="shared" si="2"/>
        <v>5</v>
      </c>
      <c r="B16" s="113">
        <f t="shared" si="1"/>
        <v>2027</v>
      </c>
      <c r="C16" s="188">
        <f>'MM_ES-2. B&amp;C Summary Backup'!C16+'Q_ES-2. B&amp;C Summary Backup'!C16</f>
        <v>0</v>
      </c>
      <c r="D16" s="189">
        <f>'MM_ES-2. B&amp;C Summary Backup'!D16+'Q_ES-2. B&amp;C Summary Backup'!D16</f>
        <v>0</v>
      </c>
      <c r="E16" s="189">
        <f>'MM_ES-2. B&amp;C Summary Backup'!E16+'Q_ES-2. B&amp;C Summary Backup'!E16</f>
        <v>0</v>
      </c>
      <c r="F16" s="189">
        <f>'MM_ES-2. B&amp;C Summary Backup'!F16+'Q_ES-2. B&amp;C Summary Backup'!F16</f>
        <v>0</v>
      </c>
      <c r="G16" s="190">
        <f>'MM_ES-2. B&amp;C Summary Backup'!G16+'Q_ES-2. B&amp;C Summary Backup'!G16</f>
        <v>0</v>
      </c>
      <c r="H16" s="188">
        <f>'MM_ES-2. B&amp;C Summary Backup'!H16+'Q_ES-2. B&amp;C Summary Backup'!H16</f>
        <v>-628195.04356408888</v>
      </c>
      <c r="I16" s="189">
        <f>'MM_ES-2. B&amp;C Summary Backup'!I16+'Q_ES-2. B&amp;C Summary Backup'!I16</f>
        <v>0</v>
      </c>
      <c r="J16" s="189">
        <f>'MM_ES-2. B&amp;C Summary Backup'!J16+'Q_ES-2. B&amp;C Summary Backup'!J16</f>
        <v>0</v>
      </c>
      <c r="K16" s="189">
        <f>'MM_ES-2. B&amp;C Summary Backup'!K16+'Q_ES-2. B&amp;C Summary Backup'!K16</f>
        <v>0</v>
      </c>
      <c r="L16" s="189">
        <f>'MM_ES-2. B&amp;C Summary Backup'!L16+'Q_ES-2. B&amp;C Summary Backup'!L16</f>
        <v>0</v>
      </c>
      <c r="M16" s="191">
        <f t="shared" si="0"/>
        <v>-628195.04356408888</v>
      </c>
      <c r="N16" s="192">
        <f>(($M16-$E16)/((1+'MM_ES-1. Executive Summary'!$F$12)^$A16))+($E16/(1+'MM_ES-1. Executive Summary'!$F$13)^$A16)</f>
        <v>-447894.38408133632</v>
      </c>
      <c r="O16" s="193">
        <f>$M16/((1+'MM_ES-1. Executive Summary'!$F$13)^$A16)</f>
        <v>-541886.56288497569</v>
      </c>
    </row>
    <row r="17" spans="1:24">
      <c r="A17" s="113">
        <f t="shared" si="2"/>
        <v>6</v>
      </c>
      <c r="B17" s="113">
        <f t="shared" si="1"/>
        <v>2028</v>
      </c>
      <c r="C17" s="188">
        <f>'MM_ES-2. B&amp;C Summary Backup'!C17+'Q_ES-2. B&amp;C Summary Backup'!C17</f>
        <v>723725.8</v>
      </c>
      <c r="D17" s="189">
        <f>'MM_ES-2. B&amp;C Summary Backup'!D17+'Q_ES-2. B&amp;C Summary Backup'!D17</f>
        <v>66422.644755598725</v>
      </c>
      <c r="E17" s="189">
        <f>'MM_ES-2. B&amp;C Summary Backup'!E17+'Q_ES-2. B&amp;C Summary Backup'!E17</f>
        <v>7962.8778337285476</v>
      </c>
      <c r="F17" s="189">
        <f>'MM_ES-2. B&amp;C Summary Backup'!F17+'Q_ES-2. B&amp;C Summary Backup'!F17</f>
        <v>12531393.549832754</v>
      </c>
      <c r="G17" s="190">
        <f>'MM_ES-2. B&amp;C Summary Backup'!G17+'Q_ES-2. B&amp;C Summary Backup'!G17</f>
        <v>0</v>
      </c>
      <c r="H17" s="189">
        <f>'MM_ES-2. B&amp;C Summary Backup'!H17+'Q_ES-2. B&amp;C Summary Backup'!H17</f>
        <v>-400452.36361728003</v>
      </c>
      <c r="I17" s="189">
        <f>'MM_ES-2. B&amp;C Summary Backup'!I17+'Q_ES-2. B&amp;C Summary Backup'!I17</f>
        <v>0</v>
      </c>
      <c r="J17" s="189">
        <f>'MM_ES-2. B&amp;C Summary Backup'!J17+'Q_ES-2. B&amp;C Summary Backup'!J17</f>
        <v>0</v>
      </c>
      <c r="K17" s="189">
        <f>'MM_ES-2. B&amp;C Summary Backup'!K17+'Q_ES-2. B&amp;C Summary Backup'!K17</f>
        <v>0</v>
      </c>
      <c r="L17" s="189">
        <f>'MM_ES-2. B&amp;C Summary Backup'!L17+'Q_ES-2. B&amp;C Summary Backup'!L17</f>
        <v>0</v>
      </c>
      <c r="M17" s="191">
        <f t="shared" si="0"/>
        <v>12929052.5088048</v>
      </c>
      <c r="N17" s="192">
        <f>(($M17-$E17)/((1+'MM_ES-1. Executive Summary'!$F$12)^$A17))+($E17/(1+'MM_ES-1. Executive Summary'!$F$13)^$A17)</f>
        <v>8616536.3836573884</v>
      </c>
      <c r="O17" s="193">
        <f>$M17/((1+'MM_ES-1. Executive Summary'!$F$13)^$A17)</f>
        <v>10827877.929960325</v>
      </c>
      <c r="X17" s="81"/>
    </row>
    <row r="18" spans="1:24">
      <c r="A18" s="112">
        <f t="shared" si="2"/>
        <v>7</v>
      </c>
      <c r="B18" s="112">
        <f t="shared" si="1"/>
        <v>2029</v>
      </c>
      <c r="C18" s="180">
        <f>'MM_ES-2. B&amp;C Summary Backup'!C18+'Q_ES-2. B&amp;C Summary Backup'!C18</f>
        <v>723725.8</v>
      </c>
      <c r="D18" s="181">
        <f>'MM_ES-2. B&amp;C Summary Backup'!D18+'Q_ES-2. B&amp;C Summary Backup'!D18</f>
        <v>78096.082360299086</v>
      </c>
      <c r="E18" s="181">
        <f>'MM_ES-2. B&amp;C Summary Backup'!E18+'Q_ES-2. B&amp;C Summary Backup'!E18</f>
        <v>10393.986891914872</v>
      </c>
      <c r="F18" s="181">
        <f>'MM_ES-2. B&amp;C Summary Backup'!F18+'Q_ES-2. B&amp;C Summary Backup'!F18</f>
        <v>13992394.130850323</v>
      </c>
      <c r="G18" s="182">
        <f>'MM_ES-2. B&amp;C Summary Backup'!G18+'Q_ES-2. B&amp;C Summary Backup'!G18</f>
        <v>0</v>
      </c>
      <c r="H18" s="454">
        <f>'MM_ES-2. B&amp;C Summary Backup'!H18+'Q_ES-2. B&amp;C Summary Backup'!H18</f>
        <v>-86354.84183523558</v>
      </c>
      <c r="I18" s="181">
        <f>'MM_ES-2. B&amp;C Summary Backup'!I18+'Q_ES-2. B&amp;C Summary Backup'!I18</f>
        <v>0</v>
      </c>
      <c r="J18" s="181">
        <f>'MM_ES-2. B&amp;C Summary Backup'!J18+'Q_ES-2. B&amp;C Summary Backup'!J18</f>
        <v>0</v>
      </c>
      <c r="K18" s="181">
        <f>'MM_ES-2. B&amp;C Summary Backup'!K18+'Q_ES-2. B&amp;C Summary Backup'!K18</f>
        <v>0</v>
      </c>
      <c r="L18" s="181">
        <f>'MM_ES-2. B&amp;C Summary Backup'!L18+'Q_ES-2. B&amp;C Summary Backup'!L18</f>
        <v>0</v>
      </c>
      <c r="M18" s="183">
        <f t="shared" si="0"/>
        <v>14718255.158267301</v>
      </c>
      <c r="N18" s="184">
        <f>(($M18-$E18)/((1+'MM_ES-1. Executive Summary'!$F$12)^$A18))+($E18/(1+'MM_ES-1. Executive Summary'!$F$13)^$A18)</f>
        <v>9167768.0106592514</v>
      </c>
      <c r="O18" s="185">
        <f>$M18/((1+'MM_ES-1. Executive Summary'!$F$13)^$A18)</f>
        <v>11967288.330972672</v>
      </c>
    </row>
    <row r="19" spans="1:24">
      <c r="A19" s="112">
        <f t="shared" si="2"/>
        <v>8</v>
      </c>
      <c r="B19" s="112">
        <f t="shared" si="1"/>
        <v>2030</v>
      </c>
      <c r="C19" s="180">
        <f>'MM_ES-2. B&amp;C Summary Backup'!C19+'Q_ES-2. B&amp;C Summary Backup'!C19</f>
        <v>723725.8</v>
      </c>
      <c r="D19" s="181">
        <f>'MM_ES-2. B&amp;C Summary Backup'!D19+'Q_ES-2. B&amp;C Summary Backup'!D19</f>
        <v>90182.248549322278</v>
      </c>
      <c r="E19" s="181">
        <f>'MM_ES-2. B&amp;C Summary Backup'!E19+'Q_ES-2. B&amp;C Summary Backup'!E19</f>
        <v>12899.307888078794</v>
      </c>
      <c r="F19" s="181">
        <f>'MM_ES-2. B&amp;C Summary Backup'!F19+'Q_ES-2. B&amp;C Summary Backup'!F19</f>
        <v>15453394.711867888</v>
      </c>
      <c r="G19" s="182">
        <f>'MM_ES-2. B&amp;C Summary Backup'!G19+'Q_ES-2. B&amp;C Summary Backup'!G19</f>
        <v>0</v>
      </c>
      <c r="H19" s="180">
        <f>'MM_ES-2. B&amp;C Summary Backup'!H19+'Q_ES-2. B&amp;C Summary Backup'!H19</f>
        <v>0</v>
      </c>
      <c r="I19" s="181">
        <f>'MM_ES-2. B&amp;C Summary Backup'!I19+'Q_ES-2. B&amp;C Summary Backup'!I19</f>
        <v>0</v>
      </c>
      <c r="J19" s="181">
        <f>'MM_ES-2. B&amp;C Summary Backup'!J19+'Q_ES-2. B&amp;C Summary Backup'!J19</f>
        <v>0</v>
      </c>
      <c r="K19" s="181">
        <f>'MM_ES-2. B&amp;C Summary Backup'!K19+'Q_ES-2. B&amp;C Summary Backup'!K19</f>
        <v>0</v>
      </c>
      <c r="L19" s="181">
        <f>'MM_ES-2. B&amp;C Summary Backup'!L19+'Q_ES-2. B&amp;C Summary Backup'!L19</f>
        <v>0</v>
      </c>
      <c r="M19" s="183">
        <f t="shared" si="0"/>
        <v>16280202.068305289</v>
      </c>
      <c r="N19" s="184">
        <f>(($M19-$E19)/((1+'MM_ES-1. Executive Summary'!$F$12)^$A19))+($E19/(1+'MM_ES-1. Executive Summary'!$F$13)^$A19)</f>
        <v>9477901.1460419055</v>
      </c>
      <c r="O19" s="185">
        <f>$M19/((1+'MM_ES-1. Executive Summary'!$F$13)^$A19)</f>
        <v>12851741.849217031</v>
      </c>
    </row>
    <row r="20" spans="1:24">
      <c r="A20" s="112">
        <f t="shared" si="2"/>
        <v>9</v>
      </c>
      <c r="B20" s="112">
        <f t="shared" si="1"/>
        <v>2031</v>
      </c>
      <c r="C20" s="180">
        <f>'MM_ES-2. B&amp;C Summary Backup'!C20+'Q_ES-2. B&amp;C Summary Backup'!C20</f>
        <v>723725.8</v>
      </c>
      <c r="D20" s="181">
        <f>'MM_ES-2. B&amp;C Summary Backup'!D20+'Q_ES-2. B&amp;C Summary Backup'!D20</f>
        <v>102573.44775671849</v>
      </c>
      <c r="E20" s="181">
        <f>'MM_ES-2. B&amp;C Summary Backup'!E20+'Q_ES-2. B&amp;C Summary Backup'!E20</f>
        <v>15720.697710067507</v>
      </c>
      <c r="F20" s="181">
        <f>'MM_ES-2. B&amp;C Summary Backup'!F20+'Q_ES-2. B&amp;C Summary Backup'!F20</f>
        <v>16914395.29288546</v>
      </c>
      <c r="G20" s="182">
        <f>'MM_ES-2. B&amp;C Summary Backup'!G20+'Q_ES-2. B&amp;C Summary Backup'!G20</f>
        <v>0</v>
      </c>
      <c r="H20" s="180">
        <f>'MM_ES-2. B&amp;C Summary Backup'!H20+'Q_ES-2. B&amp;C Summary Backup'!H20</f>
        <v>0</v>
      </c>
      <c r="I20" s="181">
        <f>'MM_ES-2. B&amp;C Summary Backup'!I20+'Q_ES-2. B&amp;C Summary Backup'!I20</f>
        <v>0</v>
      </c>
      <c r="J20" s="181">
        <f>'MM_ES-2. B&amp;C Summary Backup'!J20+'Q_ES-2. B&amp;C Summary Backup'!J20</f>
        <v>0</v>
      </c>
      <c r="K20" s="181">
        <f>'MM_ES-2. B&amp;C Summary Backup'!K20+'Q_ES-2. B&amp;C Summary Backup'!K20</f>
        <v>0</v>
      </c>
      <c r="L20" s="181">
        <f>'MM_ES-2. B&amp;C Summary Backup'!L20+'Q_ES-2. B&amp;C Summary Backup'!L20</f>
        <v>0</v>
      </c>
      <c r="M20" s="183">
        <f t="shared" si="0"/>
        <v>17756415.238352247</v>
      </c>
      <c r="N20" s="184">
        <f>(($M20-$E20)/((1+'MM_ES-1. Executive Summary'!$F$12)^$A20))+($E20/(1+'MM_ES-1. Executive Summary'!$F$13)^$A20)</f>
        <v>9661810.9833027758</v>
      </c>
      <c r="O20" s="185">
        <f>$M20/((1+'MM_ES-1. Executive Summary'!$F$13)^$A20)</f>
        <v>13608813.745114513</v>
      </c>
    </row>
    <row r="21" spans="1:24">
      <c r="A21" s="112">
        <f t="shared" si="2"/>
        <v>10</v>
      </c>
      <c r="B21" s="112">
        <f t="shared" si="1"/>
        <v>2032</v>
      </c>
      <c r="C21" s="180">
        <f>'MM_ES-2. B&amp;C Summary Backup'!C21+'Q_ES-2. B&amp;C Summary Backup'!C21</f>
        <v>723725.8</v>
      </c>
      <c r="D21" s="181">
        <f>'MM_ES-2. B&amp;C Summary Backup'!D21+'Q_ES-2. B&amp;C Summary Backup'!D21</f>
        <v>113528.5445129689</v>
      </c>
      <c r="E21" s="181">
        <f>'MM_ES-2. B&amp;C Summary Backup'!E21+'Q_ES-2. B&amp;C Summary Backup'!E21</f>
        <v>18411.548551175423</v>
      </c>
      <c r="F21" s="181">
        <f>'MM_ES-2. B&amp;C Summary Backup'!F21+'Q_ES-2. B&amp;C Summary Backup'!F21</f>
        <v>18375395.873903021</v>
      </c>
      <c r="G21" s="182">
        <f>'MM_ES-2. B&amp;C Summary Backup'!G21+'Q_ES-2. B&amp;C Summary Backup'!G21</f>
        <v>0</v>
      </c>
      <c r="H21" s="180">
        <f>'MM_ES-2. B&amp;C Summary Backup'!H21+'Q_ES-2. B&amp;C Summary Backup'!H21</f>
        <v>0</v>
      </c>
      <c r="I21" s="181">
        <f>'MM_ES-2. B&amp;C Summary Backup'!I21+'Q_ES-2. B&amp;C Summary Backup'!I21</f>
        <v>0</v>
      </c>
      <c r="J21" s="181">
        <f>'MM_ES-2. B&amp;C Summary Backup'!J21+'Q_ES-2. B&amp;C Summary Backup'!J21</f>
        <v>0</v>
      </c>
      <c r="K21" s="181">
        <f>'MM_ES-2. B&amp;C Summary Backup'!K21+'Q_ES-2. B&amp;C Summary Backup'!K21</f>
        <v>0</v>
      </c>
      <c r="L21" s="181">
        <f>'MM_ES-2. B&amp;C Summary Backup'!L21+'Q_ES-2. B&amp;C Summary Backup'!L21</f>
        <v>0</v>
      </c>
      <c r="M21" s="183">
        <f t="shared" si="0"/>
        <v>19231061.766967166</v>
      </c>
      <c r="N21" s="184">
        <f>(($M21-$E21)/((1+'MM_ES-1. Executive Summary'!$F$12)^$A21))+($E21/(1+'MM_ES-1. Executive Summary'!$F$13)^$A21)</f>
        <v>9780437.0598044544</v>
      </c>
      <c r="O21" s="185">
        <f>$M21/((1+'MM_ES-1. Executive Summary'!$F$13)^$A21)</f>
        <v>14309716.037803331</v>
      </c>
    </row>
    <row r="22" spans="1:24">
      <c r="A22" s="112">
        <f t="shared" si="2"/>
        <v>11</v>
      </c>
      <c r="B22" s="112">
        <f t="shared" si="1"/>
        <v>2033</v>
      </c>
      <c r="C22" s="180">
        <f>'MM_ES-2. B&amp;C Summary Backup'!C22+'Q_ES-2. B&amp;C Summary Backup'!C22</f>
        <v>723725.8</v>
      </c>
      <c r="D22" s="181">
        <f>'MM_ES-2. B&amp;C Summary Backup'!D22+'Q_ES-2. B&amp;C Summary Backup'!D22</f>
        <v>124483.64126921931</v>
      </c>
      <c r="E22" s="181">
        <f>'MM_ES-2. B&amp;C Summary Backup'!E22+'Q_ES-2. B&amp;C Summary Backup'!E22</f>
        <v>21912.919316436037</v>
      </c>
      <c r="F22" s="181">
        <f>'MM_ES-2. B&amp;C Summary Backup'!F22+'Q_ES-2. B&amp;C Summary Backup'!F22</f>
        <v>19836396.454920597</v>
      </c>
      <c r="G22" s="182">
        <f>'MM_ES-2. B&amp;C Summary Backup'!G22+'Q_ES-2. B&amp;C Summary Backup'!G22</f>
        <v>0</v>
      </c>
      <c r="H22" s="180">
        <f>'MM_ES-2. B&amp;C Summary Backup'!H22+'Q_ES-2. B&amp;C Summary Backup'!H22</f>
        <v>0</v>
      </c>
      <c r="I22" s="181">
        <f>'MM_ES-2. B&amp;C Summary Backup'!I22+'Q_ES-2. B&amp;C Summary Backup'!I22</f>
        <v>0</v>
      </c>
      <c r="J22" s="181">
        <f>'MM_ES-2. B&amp;C Summary Backup'!J22+'Q_ES-2. B&amp;C Summary Backup'!J22</f>
        <v>0</v>
      </c>
      <c r="K22" s="181">
        <f>'MM_ES-2. B&amp;C Summary Backup'!K22+'Q_ES-2. B&amp;C Summary Backup'!K22</f>
        <v>0</v>
      </c>
      <c r="L22" s="181">
        <f>'MM_ES-2. B&amp;C Summary Backup'!L22+'Q_ES-2. B&amp;C Summary Backup'!L22</f>
        <v>0</v>
      </c>
      <c r="M22" s="183">
        <f t="shared" si="0"/>
        <v>20706518.815506253</v>
      </c>
      <c r="N22" s="184">
        <f>(($M22-$E22)/((1+'MM_ES-1. Executive Summary'!$F$12)^$A22))+($E22/(1+'MM_ES-1. Executive Summary'!$F$13)^$A22)</f>
        <v>9842937.6165425684</v>
      </c>
      <c r="O22" s="185">
        <f>$M22/((1+'MM_ES-1. Executive Summary'!$F$13)^$A22)</f>
        <v>14958829.756614318</v>
      </c>
    </row>
    <row r="23" spans="1:24">
      <c r="A23" s="112">
        <f t="shared" si="2"/>
        <v>12</v>
      </c>
      <c r="B23" s="112">
        <f t="shared" si="1"/>
        <v>2034</v>
      </c>
      <c r="C23" s="180">
        <f>'MM_ES-2. B&amp;C Summary Backup'!C23+'Q_ES-2. B&amp;C Summary Backup'!C23</f>
        <v>723725.8</v>
      </c>
      <c r="D23" s="181">
        <f>'MM_ES-2. B&amp;C Summary Backup'!D23+'Q_ES-2. B&amp;C Summary Backup'!D23</f>
        <v>135438.73802546971</v>
      </c>
      <c r="E23" s="181">
        <f>'MM_ES-2. B&amp;C Summary Backup'!E23+'Q_ES-2. B&amp;C Summary Backup'!E23</f>
        <v>25414.290081696647</v>
      </c>
      <c r="F23" s="181">
        <f>'MM_ES-2. B&amp;C Summary Backup'!F23+'Q_ES-2. B&amp;C Summary Backup'!F23</f>
        <v>21297397.035938155</v>
      </c>
      <c r="G23" s="182">
        <f>'MM_ES-2. B&amp;C Summary Backup'!G23+'Q_ES-2. B&amp;C Summary Backup'!G23</f>
        <v>0</v>
      </c>
      <c r="H23" s="180">
        <v>0</v>
      </c>
      <c r="I23" s="181">
        <f>'MM_ES-2. B&amp;C Summary Backup'!I23+'Q_ES-2. B&amp;C Summary Backup'!I23</f>
        <v>0</v>
      </c>
      <c r="J23" s="181">
        <f>'MM_ES-2. B&amp;C Summary Backup'!J23+'Q_ES-2. B&amp;C Summary Backup'!J23</f>
        <v>0</v>
      </c>
      <c r="K23" s="181">
        <f>'MM_ES-2. B&amp;C Summary Backup'!K23+'Q_ES-2. B&amp;C Summary Backup'!K23</f>
        <v>0</v>
      </c>
      <c r="L23" s="181">
        <f>'MM_ES-2. B&amp;C Summary Backup'!L23+'Q_ES-2. B&amp;C Summary Backup'!L23</f>
        <v>0</v>
      </c>
      <c r="M23" s="183">
        <f t="shared" si="0"/>
        <v>22181975.864045322</v>
      </c>
      <c r="N23" s="184">
        <f>(($M23-$E23)/((1+'MM_ES-1. Executive Summary'!$F$12)^$A23))+($E23/(1+'MM_ES-1. Executive Summary'!$F$13)^$A23)</f>
        <v>9855603.3862262685</v>
      </c>
      <c r="O23" s="185">
        <f>$M23/((1+'MM_ES-1. Executive Summary'!$F$13)^$A23)</f>
        <v>15557991.573967531</v>
      </c>
    </row>
    <row r="24" spans="1:24">
      <c r="A24" s="112">
        <f t="shared" si="2"/>
        <v>13</v>
      </c>
      <c r="B24" s="112">
        <f t="shared" si="1"/>
        <v>2035</v>
      </c>
      <c r="C24" s="180">
        <f>'MM_ES-2. B&amp;C Summary Backup'!C24+'Q_ES-2. B&amp;C Summary Backup'!C24</f>
        <v>723725.8</v>
      </c>
      <c r="D24" s="181">
        <f>'MM_ES-2. B&amp;C Summary Backup'!D24+'Q_ES-2. B&amp;C Summary Backup'!D24</f>
        <v>146393.83478172013</v>
      </c>
      <c r="E24" s="181">
        <f>'MM_ES-2. B&amp;C Summary Backup'!E24+'Q_ES-2. B&amp;C Summary Backup'!E24</f>
        <v>28915.66084695726</v>
      </c>
      <c r="F24" s="181">
        <f>'MM_ES-2. B&amp;C Summary Backup'!F24+'Q_ES-2. B&amp;C Summary Backup'!F24</f>
        <v>22758397.616955731</v>
      </c>
      <c r="G24" s="182">
        <f>'MM_ES-2. B&amp;C Summary Backup'!G24+'Q_ES-2. B&amp;C Summary Backup'!G24</f>
        <v>0</v>
      </c>
      <c r="H24" s="180">
        <v>0</v>
      </c>
      <c r="I24" s="181">
        <f>'MM_ES-2. B&amp;C Summary Backup'!I24+'Q_ES-2. B&amp;C Summary Backup'!I24</f>
        <v>0</v>
      </c>
      <c r="J24" s="181">
        <f>'MM_ES-2. B&amp;C Summary Backup'!J24+'Q_ES-2. B&amp;C Summary Backup'!J24</f>
        <v>0</v>
      </c>
      <c r="K24" s="181">
        <f>'MM_ES-2. B&amp;C Summary Backup'!K24+'Q_ES-2. B&amp;C Summary Backup'!K24</f>
        <v>0</v>
      </c>
      <c r="L24" s="181">
        <f>'MM_ES-2. B&amp;C Summary Backup'!L24+'Q_ES-2. B&amp;C Summary Backup'!L24</f>
        <v>0</v>
      </c>
      <c r="M24" s="183">
        <f t="shared" si="0"/>
        <v>23657432.912584409</v>
      </c>
      <c r="N24" s="184">
        <f>(($M24-$E24)/((1+'MM_ES-1. Executive Summary'!$F$12)^$A24))+($E24/(1+'MM_ES-1. Executive Summary'!$F$13)^$A24)</f>
        <v>9824684.7737925407</v>
      </c>
      <c r="O24" s="185">
        <f>$M24/((1+'MM_ES-1. Executive Summary'!$F$13)^$A24)</f>
        <v>16109560.642623063</v>
      </c>
    </row>
    <row r="25" spans="1:24">
      <c r="A25" s="112">
        <f t="shared" si="2"/>
        <v>14</v>
      </c>
      <c r="B25" s="112">
        <f t="shared" si="1"/>
        <v>2036</v>
      </c>
      <c r="C25" s="180">
        <f>'MM_ES-2. B&amp;C Summary Backup'!C25+'Q_ES-2. B&amp;C Summary Backup'!C25</f>
        <v>723725.8</v>
      </c>
      <c r="D25" s="181">
        <f>'MM_ES-2. B&amp;C Summary Backup'!D25+'Q_ES-2. B&amp;C Summary Backup'!D25</f>
        <v>157348.93153797052</v>
      </c>
      <c r="E25" s="181">
        <f>'MM_ES-2. B&amp;C Summary Backup'!E25+'Q_ES-2. B&amp;C Summary Backup'!E25</f>
        <v>32417.031612217874</v>
      </c>
      <c r="F25" s="181">
        <f>'MM_ES-2. B&amp;C Summary Backup'!F25+'Q_ES-2. B&amp;C Summary Backup'!F25</f>
        <v>24219398.197973296</v>
      </c>
      <c r="G25" s="182">
        <f>'MM_ES-2. B&amp;C Summary Backup'!G25+'Q_ES-2. B&amp;C Summary Backup'!G25</f>
        <v>0</v>
      </c>
      <c r="H25" s="180">
        <v>0</v>
      </c>
      <c r="I25" s="181">
        <f>'MM_ES-2. B&amp;C Summary Backup'!I25+'Q_ES-2. B&amp;C Summary Backup'!I25</f>
        <v>0</v>
      </c>
      <c r="J25" s="181">
        <f>'MM_ES-2. B&amp;C Summary Backup'!J25+'Q_ES-2. B&amp;C Summary Backup'!J25</f>
        <v>0</v>
      </c>
      <c r="K25" s="181">
        <f>'MM_ES-2. B&amp;C Summary Backup'!K25+'Q_ES-2. B&amp;C Summary Backup'!K25</f>
        <v>0</v>
      </c>
      <c r="L25" s="181">
        <f>'MM_ES-2. B&amp;C Summary Backup'!L25+'Q_ES-2. B&amp;C Summary Backup'!L25</f>
        <v>0</v>
      </c>
      <c r="M25" s="183">
        <f t="shared" si="0"/>
        <v>25132889.961123485</v>
      </c>
      <c r="N25" s="184">
        <f>(($M25-$E25)/((1+'MM_ES-1. Executive Summary'!$F$12)^$A25))+($E25/(1+'MM_ES-1. Executive Summary'!$F$13)^$A25)</f>
        <v>9755827.6365637332</v>
      </c>
      <c r="O25" s="185">
        <f>$M25/((1+'MM_ES-1. Executive Summary'!$F$13)^$A25)</f>
        <v>16615801.064978762</v>
      </c>
    </row>
    <row r="26" spans="1:24">
      <c r="A26" s="112">
        <f t="shared" si="2"/>
        <v>15</v>
      </c>
      <c r="B26" s="112">
        <f t="shared" si="1"/>
        <v>2037</v>
      </c>
      <c r="C26" s="180">
        <f>'MM_ES-2. B&amp;C Summary Backup'!C26+'Q_ES-2. B&amp;C Summary Backup'!C26</f>
        <v>723725.8</v>
      </c>
      <c r="D26" s="181">
        <f>'MM_ES-2. B&amp;C Summary Backup'!D26+'Q_ES-2. B&amp;C Summary Backup'!D26</f>
        <v>168304.02829422092</v>
      </c>
      <c r="E26" s="181">
        <f>'MM_ES-2. B&amp;C Summary Backup'!E26+'Q_ES-2. B&amp;C Summary Backup'!E26</f>
        <v>35918.40237747848</v>
      </c>
      <c r="F26" s="181">
        <f>'MM_ES-2. B&amp;C Summary Backup'!F26+'Q_ES-2. B&amp;C Summary Backup'!F26</f>
        <v>25680398.778990861</v>
      </c>
      <c r="G26" s="182">
        <f>'MM_ES-2. B&amp;C Summary Backup'!G26+'Q_ES-2. B&amp;C Summary Backup'!G26</f>
        <v>0</v>
      </c>
      <c r="H26" s="180">
        <v>0</v>
      </c>
      <c r="I26" s="181">
        <f>'MM_ES-2. B&amp;C Summary Backup'!I26+'Q_ES-2. B&amp;C Summary Backup'!I26</f>
        <v>0</v>
      </c>
      <c r="J26" s="181">
        <f>'MM_ES-2. B&amp;C Summary Backup'!J26+'Q_ES-2. B&amp;C Summary Backup'!J26</f>
        <v>0</v>
      </c>
      <c r="K26" s="181">
        <f>'MM_ES-2. B&amp;C Summary Backup'!K26+'Q_ES-2. B&amp;C Summary Backup'!K26</f>
        <v>0</v>
      </c>
      <c r="L26" s="181">
        <f>'MM_ES-2. B&amp;C Summary Backup'!L26+'Q_ES-2. B&amp;C Summary Backup'!L26</f>
        <v>0</v>
      </c>
      <c r="M26" s="183">
        <f t="shared" si="0"/>
        <v>26608347.009662561</v>
      </c>
      <c r="N26" s="184">
        <f>(($M26-$E26)/((1+'MM_ES-1. Executive Summary'!$F$12)^$A26))+($E26/(1+'MM_ES-1. Executive Summary'!$F$13)^$A26)</f>
        <v>9654125.6366386358</v>
      </c>
      <c r="O26" s="185">
        <f>$M26/((1+'MM_ES-1. Executive Summary'!$F$13)^$A26)</f>
        <v>17078885.42862964</v>
      </c>
    </row>
    <row r="27" spans="1:24">
      <c r="A27" s="112">
        <f t="shared" si="2"/>
        <v>16</v>
      </c>
      <c r="B27" s="112">
        <f t="shared" si="1"/>
        <v>2038</v>
      </c>
      <c r="C27" s="180">
        <f>'MM_ES-2. B&amp;C Summary Backup'!C27+'Q_ES-2. B&amp;C Summary Backup'!C27</f>
        <v>723725.8</v>
      </c>
      <c r="D27" s="181">
        <f>'MM_ES-2. B&amp;C Summary Backup'!D27+'Q_ES-2. B&amp;C Summary Backup'!D27</f>
        <v>179259.12505047134</v>
      </c>
      <c r="E27" s="181">
        <f>'MM_ES-2. B&amp;C Summary Backup'!E27+'Q_ES-2. B&amp;C Summary Backup'!E27</f>
        <v>39419.77314273909</v>
      </c>
      <c r="F27" s="181">
        <f>'MM_ES-2. B&amp;C Summary Backup'!F27+'Q_ES-2. B&amp;C Summary Backup'!F27</f>
        <v>27141399.360008422</v>
      </c>
      <c r="G27" s="182">
        <f>'MM_ES-2. B&amp;C Summary Backup'!G27+'Q_ES-2. B&amp;C Summary Backup'!G27</f>
        <v>0</v>
      </c>
      <c r="H27" s="180">
        <v>0</v>
      </c>
      <c r="I27" s="181">
        <f>'MM_ES-2. B&amp;C Summary Backup'!I27+'Q_ES-2. B&amp;C Summary Backup'!I27</f>
        <v>0</v>
      </c>
      <c r="J27" s="181">
        <f>'MM_ES-2. B&amp;C Summary Backup'!J27+'Q_ES-2. B&amp;C Summary Backup'!J27</f>
        <v>0</v>
      </c>
      <c r="K27" s="181">
        <f>'MM_ES-2. B&amp;C Summary Backup'!K27+'Q_ES-2. B&amp;C Summary Backup'!K27</f>
        <v>0</v>
      </c>
      <c r="L27" s="181">
        <f>'MM_ES-2. B&amp;C Summary Backup'!L27+'Q_ES-2. B&amp;C Summary Backup'!L27</f>
        <v>0</v>
      </c>
      <c r="M27" s="183">
        <f t="shared" si="0"/>
        <v>28083804.058201633</v>
      </c>
      <c r="N27" s="184">
        <f>(($M27-$E27)/((1+'MM_ES-1. Executive Summary'!$F$12)^$A27))+($E27/(1+'MM_ES-1. Executive Summary'!$F$13)^$A27)</f>
        <v>9524168.3306267653</v>
      </c>
      <c r="O27" s="185">
        <f>$M27/((1+'MM_ES-1. Executive Summary'!$F$13)^$A27)</f>
        <v>17500898.216606937</v>
      </c>
    </row>
    <row r="28" spans="1:24">
      <c r="A28" s="112">
        <f t="shared" si="2"/>
        <v>17</v>
      </c>
      <c r="B28" s="112">
        <f t="shared" si="1"/>
        <v>2039</v>
      </c>
      <c r="C28" s="180">
        <f>'MM_ES-2. B&amp;C Summary Backup'!C28+'Q_ES-2. B&amp;C Summary Backup'!C28</f>
        <v>723725.8</v>
      </c>
      <c r="D28" s="181">
        <f>'MM_ES-2. B&amp;C Summary Backup'!D28+'Q_ES-2. B&amp;C Summary Backup'!D28</f>
        <v>190214.22180672176</v>
      </c>
      <c r="E28" s="181">
        <f>'MM_ES-2. B&amp;C Summary Backup'!E28+'Q_ES-2. B&amp;C Summary Backup'!E28</f>
        <v>42921.1439079997</v>
      </c>
      <c r="F28" s="181">
        <f>'MM_ES-2. B&amp;C Summary Backup'!F28+'Q_ES-2. B&amp;C Summary Backup'!F28</f>
        <v>28602399.941025987</v>
      </c>
      <c r="G28" s="182">
        <f>'MM_ES-2. B&amp;C Summary Backup'!G28+'Q_ES-2. B&amp;C Summary Backup'!G28</f>
        <v>0</v>
      </c>
      <c r="H28" s="180">
        <v>0</v>
      </c>
      <c r="I28" s="181">
        <f>'MM_ES-2. B&amp;C Summary Backup'!I28+'Q_ES-2. B&amp;C Summary Backup'!I28</f>
        <v>0</v>
      </c>
      <c r="J28" s="181">
        <f>'MM_ES-2. B&amp;C Summary Backup'!J28+'Q_ES-2. B&amp;C Summary Backup'!J28</f>
        <v>0</v>
      </c>
      <c r="K28" s="181">
        <f>'MM_ES-2. B&amp;C Summary Backup'!K28+'Q_ES-2. B&amp;C Summary Backup'!K28</f>
        <v>0</v>
      </c>
      <c r="L28" s="181">
        <f>'MM_ES-2. B&amp;C Summary Backup'!L28+'Q_ES-2. B&amp;C Summary Backup'!L28</f>
        <v>0</v>
      </c>
      <c r="M28" s="183">
        <f t="shared" si="0"/>
        <v>29559261.106740709</v>
      </c>
      <c r="N28" s="184">
        <f>(($M28-$E28)/((1+'MM_ES-1. Executive Summary'!$F$12)^$A28))+($E28/(1+'MM_ES-1. Executive Summary'!$F$13)^$A28)</f>
        <v>9370085.3304040302</v>
      </c>
      <c r="O28" s="185">
        <f>$M28/((1+'MM_ES-1. Executive Summary'!$F$13)^$A28)</f>
        <v>17883839.096597843</v>
      </c>
    </row>
    <row r="29" spans="1:24">
      <c r="A29" s="112">
        <f t="shared" si="2"/>
        <v>18</v>
      </c>
      <c r="B29" s="112">
        <f t="shared" si="1"/>
        <v>2040</v>
      </c>
      <c r="C29" s="180">
        <f>'MM_ES-2. B&amp;C Summary Backup'!C29+'Q_ES-2. B&amp;C Summary Backup'!C29</f>
        <v>723725.8</v>
      </c>
      <c r="D29" s="181">
        <f>'MM_ES-2. B&amp;C Summary Backup'!D29+'Q_ES-2. B&amp;C Summary Backup'!D29</f>
        <v>201169.31856297216</v>
      </c>
      <c r="E29" s="181">
        <f>'MM_ES-2. B&amp;C Summary Backup'!E29+'Q_ES-2. B&amp;C Summary Backup'!E29</f>
        <v>46422.51467326031</v>
      </c>
      <c r="F29" s="181">
        <f>'MM_ES-2. B&amp;C Summary Backup'!F29+'Q_ES-2. B&amp;C Summary Backup'!F29</f>
        <v>30063400.522043571</v>
      </c>
      <c r="G29" s="182">
        <f>'MM_ES-2. B&amp;C Summary Backup'!G29+'Q_ES-2. B&amp;C Summary Backup'!G29</f>
        <v>0</v>
      </c>
      <c r="H29" s="180">
        <v>0</v>
      </c>
      <c r="I29" s="181">
        <f>'MM_ES-2. B&amp;C Summary Backup'!I29+'Q_ES-2. B&amp;C Summary Backup'!I29</f>
        <v>0</v>
      </c>
      <c r="J29" s="181">
        <f>'MM_ES-2. B&amp;C Summary Backup'!J29+'Q_ES-2. B&amp;C Summary Backup'!J29</f>
        <v>0</v>
      </c>
      <c r="K29" s="181">
        <f>'MM_ES-2. B&amp;C Summary Backup'!K29+'Q_ES-2. B&amp;C Summary Backup'!K29</f>
        <v>0</v>
      </c>
      <c r="L29" s="181">
        <f>'MM_ES-2. B&amp;C Summary Backup'!L29+'Q_ES-2. B&amp;C Summary Backup'!L29</f>
        <v>0</v>
      </c>
      <c r="M29" s="183">
        <f t="shared" si="0"/>
        <v>31034718.155279804</v>
      </c>
      <c r="N29" s="184">
        <f>(($M29-$E29)/((1+'MM_ES-1. Executive Summary'!$F$12)^$A29))+($E29/(1+'MM_ES-1. Executive Summary'!$F$13)^$A29)</f>
        <v>9195586.8431524243</v>
      </c>
      <c r="O29" s="185">
        <f>$M29/((1+'MM_ES-1. Executive Summary'!$F$13)^$A29)</f>
        <v>18229626.093302507</v>
      </c>
    </row>
    <row r="30" spans="1:24">
      <c r="A30" s="112">
        <f t="shared" si="2"/>
        <v>19</v>
      </c>
      <c r="B30" s="112">
        <f t="shared" si="1"/>
        <v>2041</v>
      </c>
      <c r="C30" s="180">
        <f>'MM_ES-2. B&amp;C Summary Backup'!C30+'Q_ES-2. B&amp;C Summary Backup'!C30</f>
        <v>723725.8</v>
      </c>
      <c r="D30" s="181">
        <f>'MM_ES-2. B&amp;C Summary Backup'!D30+'Q_ES-2. B&amp;C Summary Backup'!D30</f>
        <v>212124.41531922255</v>
      </c>
      <c r="E30" s="181">
        <f>'MM_ES-2. B&amp;C Summary Backup'!E30+'Q_ES-2. B&amp;C Summary Backup'!E30</f>
        <v>49923.88543852092</v>
      </c>
      <c r="F30" s="181">
        <f>'MM_ES-2. B&amp;C Summary Backup'!F30+'Q_ES-2. B&amp;C Summary Backup'!F30</f>
        <v>31524401.10306114</v>
      </c>
      <c r="G30" s="182">
        <f>'MM_ES-2. B&amp;C Summary Backup'!G30+'Q_ES-2. B&amp;C Summary Backup'!G30</f>
        <v>0</v>
      </c>
      <c r="H30" s="180">
        <v>0</v>
      </c>
      <c r="I30" s="181">
        <f>'MM_ES-2. B&amp;C Summary Backup'!I30+'Q_ES-2. B&amp;C Summary Backup'!I30</f>
        <v>0</v>
      </c>
      <c r="J30" s="181">
        <f>'MM_ES-2. B&amp;C Summary Backup'!J30+'Q_ES-2. B&amp;C Summary Backup'!J30</f>
        <v>0</v>
      </c>
      <c r="K30" s="181">
        <f>'MM_ES-2. B&amp;C Summary Backup'!K30+'Q_ES-2. B&amp;C Summary Backup'!K30</f>
        <v>0</v>
      </c>
      <c r="L30" s="181">
        <f>'MM_ES-2. B&amp;C Summary Backup'!L30+'Q_ES-2. B&amp;C Summary Backup'!L30</f>
        <v>0</v>
      </c>
      <c r="M30" s="183">
        <f t="shared" si="0"/>
        <v>32510175.203818884</v>
      </c>
      <c r="N30" s="184">
        <f>(($M30-$E30)/((1+'MM_ES-1. Executive Summary'!$F$12)^$A30))+($E30/(1+'MM_ES-1. Executive Summary'!$F$13)^$A30)</f>
        <v>9004000.8754280061</v>
      </c>
      <c r="O30" s="185">
        <f>$M30/((1+'MM_ES-1. Executive Summary'!$F$13)^$A30)</f>
        <v>18540098.647945434</v>
      </c>
    </row>
    <row r="31" spans="1:24">
      <c r="A31" s="112">
        <f t="shared" si="2"/>
        <v>20</v>
      </c>
      <c r="B31" s="112">
        <f t="shared" si="1"/>
        <v>2042</v>
      </c>
      <c r="C31" s="180">
        <f>'MM_ES-2. B&amp;C Summary Backup'!C31+'Q_ES-2. B&amp;C Summary Backup'!C31</f>
        <v>723725.8</v>
      </c>
      <c r="D31" s="181">
        <f>'MM_ES-2. B&amp;C Summary Backup'!D31+'Q_ES-2. B&amp;C Summary Backup'!D31</f>
        <v>223079.51207547294</v>
      </c>
      <c r="E31" s="181">
        <f>'MM_ES-2. B&amp;C Summary Backup'!E31+'Q_ES-2. B&amp;C Summary Backup'!E31</f>
        <v>53425.256203781522</v>
      </c>
      <c r="F31" s="181">
        <f>'MM_ES-2. B&amp;C Summary Backup'!F31+'Q_ES-2. B&amp;C Summary Backup'!F31</f>
        <v>32985401.684078701</v>
      </c>
      <c r="G31" s="182">
        <f>'MM_ES-2. B&amp;C Summary Backup'!G31+'Q_ES-2. B&amp;C Summary Backup'!G31</f>
        <v>0</v>
      </c>
      <c r="H31" s="180">
        <v>0</v>
      </c>
      <c r="I31" s="181">
        <f>'MM_ES-2. B&amp;C Summary Backup'!I31+'Q_ES-2. B&amp;C Summary Backup'!I31</f>
        <v>0</v>
      </c>
      <c r="J31" s="181">
        <f>'MM_ES-2. B&amp;C Summary Backup'!J31+'Q_ES-2. B&amp;C Summary Backup'!J31</f>
        <v>0</v>
      </c>
      <c r="K31" s="181">
        <f>'MM_ES-2. B&amp;C Summary Backup'!K31+'Q_ES-2. B&amp;C Summary Backup'!K31</f>
        <v>0</v>
      </c>
      <c r="L31" s="181">
        <f>'MM_ES-2. B&amp;C Summary Backup'!L31+'Q_ES-2. B&amp;C Summary Backup'!L31</f>
        <v>0</v>
      </c>
      <c r="M31" s="183">
        <f t="shared" si="0"/>
        <v>33985632.252357952</v>
      </c>
      <c r="N31" s="184">
        <f>(($M31-$E31)/((1+'MM_ES-1. Executive Summary'!$F$12)^$A31))+($E31/(1+'MM_ES-1. Executive Summary'!$F$13)^$A31)</f>
        <v>8798307.364241166</v>
      </c>
      <c r="O31" s="185">
        <f>$M31/((1+'MM_ES-1. Executive Summary'!$F$13)^$A31)</f>
        <v>18817020.568823718</v>
      </c>
    </row>
    <row r="32" spans="1:24">
      <c r="A32" s="112">
        <f t="shared" si="2"/>
        <v>21</v>
      </c>
      <c r="B32" s="112">
        <f t="shared" si="1"/>
        <v>2043</v>
      </c>
      <c r="C32" s="180">
        <f>'MM_ES-2. B&amp;C Summary Backup'!C32+'Q_ES-2. B&amp;C Summary Backup'!C32</f>
        <v>723725.8</v>
      </c>
      <c r="D32" s="181">
        <f>'MM_ES-2. B&amp;C Summary Backup'!D32+'Q_ES-2. B&amp;C Summary Backup'!D32</f>
        <v>234034.60883172334</v>
      </c>
      <c r="E32" s="181">
        <f>'MM_ES-2. B&amp;C Summary Backup'!E32+'Q_ES-2. B&amp;C Summary Backup'!E32</f>
        <v>56926.626969042132</v>
      </c>
      <c r="F32" s="181">
        <f>'MM_ES-2. B&amp;C Summary Backup'!F32+'Q_ES-2. B&amp;C Summary Backup'!F32</f>
        <v>34446402.26509627</v>
      </c>
      <c r="G32" s="182">
        <f>'MM_ES-2. B&amp;C Summary Backup'!G32+'Q_ES-2. B&amp;C Summary Backup'!G32</f>
        <v>0</v>
      </c>
      <c r="H32" s="180">
        <v>0</v>
      </c>
      <c r="I32" s="181">
        <f>'MM_ES-2. B&amp;C Summary Backup'!I32+'Q_ES-2. B&amp;C Summary Backup'!I32</f>
        <v>0</v>
      </c>
      <c r="J32" s="181">
        <f>'MM_ES-2. B&amp;C Summary Backup'!J32+'Q_ES-2. B&amp;C Summary Backup'!J32</f>
        <v>0</v>
      </c>
      <c r="K32" s="181">
        <f>'MM_ES-2. B&amp;C Summary Backup'!K32+'Q_ES-2. B&amp;C Summary Backup'!K32</f>
        <v>0</v>
      </c>
      <c r="L32" s="181">
        <f>'MM_ES-2. B&amp;C Summary Backup'!L32+'Q_ES-2. B&amp;C Summary Backup'!L32</f>
        <v>0</v>
      </c>
      <c r="M32" s="183">
        <f t="shared" si="0"/>
        <v>35461089.300897032</v>
      </c>
      <c r="N32" s="184">
        <f>(($M32-$E32)/((1+'MM_ES-1. Executive Summary'!$F$12)^$A32))+($E32/(1+'MM_ES-1. Executive Summary'!$F$13)^$A32)</f>
        <v>8581169.4780010451</v>
      </c>
      <c r="O32" s="185">
        <f>$M32/((1+'MM_ES-1. Executive Summary'!$F$13)^$A32)</f>
        <v>19062082.876643825</v>
      </c>
    </row>
    <row r="33" spans="1:15">
      <c r="A33" s="112">
        <f t="shared" si="2"/>
        <v>22</v>
      </c>
      <c r="B33" s="112">
        <f t="shared" si="1"/>
        <v>2044</v>
      </c>
      <c r="C33" s="180">
        <f>'MM_ES-2. B&amp;C Summary Backup'!C33+'Q_ES-2. B&amp;C Summary Backup'!C33</f>
        <v>723725.8</v>
      </c>
      <c r="D33" s="181">
        <f>'MM_ES-2. B&amp;C Summary Backup'!D33+'Q_ES-2. B&amp;C Summary Backup'!D33</f>
        <v>244989.70558797373</v>
      </c>
      <c r="E33" s="181">
        <f>'MM_ES-2. B&amp;C Summary Backup'!E33+'Q_ES-2. B&amp;C Summary Backup'!E33</f>
        <v>60427.997734302742</v>
      </c>
      <c r="F33" s="181">
        <f>'MM_ES-2. B&amp;C Summary Backup'!F33+'Q_ES-2. B&amp;C Summary Backup'!F33</f>
        <v>35907402.846113831</v>
      </c>
      <c r="G33" s="182">
        <f>'MM_ES-2. B&amp;C Summary Backup'!G33+'Q_ES-2. B&amp;C Summary Backup'!G33</f>
        <v>0</v>
      </c>
      <c r="H33" s="180">
        <v>0</v>
      </c>
      <c r="I33" s="181">
        <f>'MM_ES-2. B&amp;C Summary Backup'!I33+'Q_ES-2. B&amp;C Summary Backup'!I33</f>
        <v>0</v>
      </c>
      <c r="J33" s="181">
        <f>'MM_ES-2. B&amp;C Summary Backup'!J33+'Q_ES-2. B&amp;C Summary Backup'!J33</f>
        <v>0</v>
      </c>
      <c r="K33" s="181">
        <f>'MM_ES-2. B&amp;C Summary Backup'!K33+'Q_ES-2. B&amp;C Summary Backup'!K33</f>
        <v>0</v>
      </c>
      <c r="L33" s="181">
        <f>'MM_ES-2. B&amp;C Summary Backup'!L33+'Q_ES-2. B&amp;C Summary Backup'!L33</f>
        <v>0</v>
      </c>
      <c r="M33" s="183">
        <f t="shared" si="0"/>
        <v>36936546.349436104</v>
      </c>
      <c r="N33" s="184">
        <f>(($M33-$E33)/((1+'MM_ES-1. Executive Summary'!$F$12)^$A33))+($E33/(1+'MM_ES-1. Executive Summary'!$F$13)^$A33)</f>
        <v>8354962.3115528058</v>
      </c>
      <c r="O33" s="185">
        <f>$M33/((1+'MM_ES-1. Executive Summary'!$F$13)^$A33)</f>
        <v>19276906.548272744</v>
      </c>
    </row>
    <row r="34" spans="1:15">
      <c r="A34" s="112">
        <f t="shared" si="2"/>
        <v>23</v>
      </c>
      <c r="B34" s="112">
        <f t="shared" si="1"/>
        <v>2045</v>
      </c>
      <c r="C34" s="180">
        <f>'MM_ES-2. B&amp;C Summary Backup'!C34+'Q_ES-2. B&amp;C Summary Backup'!C34</f>
        <v>723725.8</v>
      </c>
      <c r="D34" s="181">
        <f>'MM_ES-2. B&amp;C Summary Backup'!D34+'Q_ES-2. B&amp;C Summary Backup'!D34</f>
        <v>255944.80234422412</v>
      </c>
      <c r="E34" s="181">
        <f>'MM_ES-2. B&amp;C Summary Backup'!E34+'Q_ES-2. B&amp;C Summary Backup'!E34</f>
        <v>63929.368499563359</v>
      </c>
      <c r="F34" s="181">
        <f>'MM_ES-2. B&amp;C Summary Backup'!F34+'Q_ES-2. B&amp;C Summary Backup'!F34</f>
        <v>37368403.4271314</v>
      </c>
      <c r="G34" s="182">
        <f>'MM_ES-2. B&amp;C Summary Backup'!G34+'Q_ES-2. B&amp;C Summary Backup'!G34</f>
        <v>0</v>
      </c>
      <c r="H34" s="180">
        <v>0</v>
      </c>
      <c r="I34" s="181">
        <f>'MM_ES-2. B&amp;C Summary Backup'!I34+'Q_ES-2. B&amp;C Summary Backup'!I34</f>
        <v>0</v>
      </c>
      <c r="J34" s="181">
        <f>'MM_ES-2. B&amp;C Summary Backup'!J34+'Q_ES-2. B&amp;C Summary Backup'!J34</f>
        <v>0</v>
      </c>
      <c r="K34" s="181">
        <f>'MM_ES-2. B&amp;C Summary Backup'!K34+'Q_ES-2. B&amp;C Summary Backup'!K34</f>
        <v>0</v>
      </c>
      <c r="L34" s="181">
        <f>'MM_ES-2. B&amp;C Summary Backup'!L34+'Q_ES-2. B&amp;C Summary Backup'!L34</f>
        <v>0</v>
      </c>
      <c r="M34" s="183">
        <f t="shared" si="0"/>
        <v>38412003.397975184</v>
      </c>
      <c r="N34" s="184">
        <f>(($M34-$E34)/((1+'MM_ES-1. Executive Summary'!$F$12)^$A34))+($E34/(1+'MM_ES-1. Executive Summary'!$F$13)^$A34)</f>
        <v>8121799.1823104024</v>
      </c>
      <c r="O34" s="185">
        <f>$M34/((1+'MM_ES-1. Executive Summary'!$F$13)^$A34)</f>
        <v>19463045.162407417</v>
      </c>
    </row>
    <row r="35" spans="1:15">
      <c r="A35" s="112">
        <f t="shared" si="2"/>
        <v>24</v>
      </c>
      <c r="B35" s="112">
        <f t="shared" si="1"/>
        <v>2046</v>
      </c>
      <c r="C35" s="180">
        <f>'MM_ES-2. B&amp;C Summary Backup'!C35+'Q_ES-2. B&amp;C Summary Backup'!C35</f>
        <v>723725.8</v>
      </c>
      <c r="D35" s="181">
        <f>'MM_ES-2. B&amp;C Summary Backup'!D35+'Q_ES-2. B&amp;C Summary Backup'!D35</f>
        <v>266899.89910047455</v>
      </c>
      <c r="E35" s="181">
        <f>'MM_ES-2. B&amp;C Summary Backup'!E35+'Q_ES-2. B&amp;C Summary Backup'!E35</f>
        <v>67430.739264823977</v>
      </c>
      <c r="F35" s="181">
        <f>'MM_ES-2. B&amp;C Summary Backup'!F35+'Q_ES-2. B&amp;C Summary Backup'!F35</f>
        <v>38829404.008148961</v>
      </c>
      <c r="G35" s="182">
        <f>'MM_ES-2. B&amp;C Summary Backup'!G35+'Q_ES-2. B&amp;C Summary Backup'!G35</f>
        <v>0</v>
      </c>
      <c r="H35" s="180">
        <v>0</v>
      </c>
      <c r="I35" s="181">
        <f>'MM_ES-2. B&amp;C Summary Backup'!I35+'Q_ES-2. B&amp;C Summary Backup'!I35</f>
        <v>0</v>
      </c>
      <c r="J35" s="181">
        <f>'MM_ES-2. B&amp;C Summary Backup'!J35+'Q_ES-2. B&amp;C Summary Backup'!J35</f>
        <v>0</v>
      </c>
      <c r="K35" s="181">
        <f>'MM_ES-2. B&amp;C Summary Backup'!K35+'Q_ES-2. B&amp;C Summary Backup'!K35</f>
        <v>0</v>
      </c>
      <c r="L35" s="181">
        <f>'MM_ES-2. B&amp;C Summary Backup'!L35+'Q_ES-2. B&amp;C Summary Backup'!L35</f>
        <v>0</v>
      </c>
      <c r="M35" s="183">
        <f t="shared" si="0"/>
        <v>39887460.446514256</v>
      </c>
      <c r="N35" s="184">
        <f>(($M35-$E35)/((1+'MM_ES-1. Executive Summary'!$F$12)^$A35))+($E35/(1+'MM_ES-1. Executive Summary'!$F$13)^$A35)</f>
        <v>7883555.718555565</v>
      </c>
      <c r="O35" s="185">
        <f>$M35/((1+'MM_ES-1. Executive Summary'!$F$13)^$A35)</f>
        <v>19621987.450548157</v>
      </c>
    </row>
    <row r="36" spans="1:15">
      <c r="A36" s="112">
        <f t="shared" si="2"/>
        <v>25</v>
      </c>
      <c r="B36" s="112">
        <f t="shared" si="1"/>
        <v>2047</v>
      </c>
      <c r="C36" s="180">
        <f>'MM_ES-2. B&amp;C Summary Backup'!C36+'Q_ES-2. B&amp;C Summary Backup'!C36</f>
        <v>723725.8</v>
      </c>
      <c r="D36" s="181">
        <f>'MM_ES-2. B&amp;C Summary Backup'!D36+'Q_ES-2. B&amp;C Summary Backup'!D36</f>
        <v>277854.99585672491</v>
      </c>
      <c r="E36" s="181">
        <f>'MM_ES-2. B&amp;C Summary Backup'!E36+'Q_ES-2. B&amp;C Summary Backup'!E36</f>
        <v>70932.110030084586</v>
      </c>
      <c r="F36" s="181">
        <f>'MM_ES-2. B&amp;C Summary Backup'!F36+'Q_ES-2. B&amp;C Summary Backup'!F36</f>
        <v>40290404.589166522</v>
      </c>
      <c r="G36" s="182">
        <f>'MM_ES-2. B&amp;C Summary Backup'!G36+'Q_ES-2. B&amp;C Summary Backup'!G36</f>
        <v>0</v>
      </c>
      <c r="H36" s="180">
        <v>0</v>
      </c>
      <c r="I36" s="181">
        <f>'MM_ES-2. B&amp;C Summary Backup'!I36+'Q_ES-2. B&amp;C Summary Backup'!I36</f>
        <v>0</v>
      </c>
      <c r="J36" s="181">
        <f>'MM_ES-2. B&amp;C Summary Backup'!J36+'Q_ES-2. B&amp;C Summary Backup'!J36</f>
        <v>0</v>
      </c>
      <c r="K36" s="181">
        <f>'MM_ES-2. B&amp;C Summary Backup'!K36+'Q_ES-2. B&amp;C Summary Backup'!K36</f>
        <v>0</v>
      </c>
      <c r="L36" s="181">
        <f>'MM_ES-2. B&amp;C Summary Backup'!L36+'Q_ES-2. B&amp;C Summary Backup'!L36</f>
        <v>0</v>
      </c>
      <c r="M36" s="183">
        <f t="shared" si="0"/>
        <v>41362917.495053329</v>
      </c>
      <c r="N36" s="184">
        <f>(($M36-$E36)/((1+'MM_ES-1. Executive Summary'!$F$12)^$A36))+($E36/(1+'MM_ES-1. Executive Summary'!$F$13)^$A36)</f>
        <v>7641891.9162407191</v>
      </c>
      <c r="O36" s="185">
        <f>$M36/((1+'MM_ES-1. Executive Summary'!$F$13)^$A36)</f>
        <v>19755159.756548006</v>
      </c>
    </row>
    <row r="37" spans="1:15">
      <c r="A37" s="112">
        <f t="shared" si="2"/>
        <v>26</v>
      </c>
      <c r="B37" s="112">
        <f t="shared" si="1"/>
        <v>2048</v>
      </c>
      <c r="C37" s="180">
        <f>'MM_ES-2. B&amp;C Summary Backup'!C37+'Q_ES-2. B&amp;C Summary Backup'!C37</f>
        <v>723725.8</v>
      </c>
      <c r="D37" s="181">
        <f>'MM_ES-2. B&amp;C Summary Backup'!D37+'Q_ES-2. B&amp;C Summary Backup'!D37</f>
        <v>288810.09261297528</v>
      </c>
      <c r="E37" s="181">
        <f>'MM_ES-2. B&amp;C Summary Backup'!E37+'Q_ES-2. B&amp;C Summary Backup'!E37</f>
        <v>74433.480795345211</v>
      </c>
      <c r="F37" s="181">
        <f>'MM_ES-2. B&amp;C Summary Backup'!F37+'Q_ES-2. B&amp;C Summary Backup'!F37</f>
        <v>41751405.170184113</v>
      </c>
      <c r="G37" s="182">
        <f>'MM_ES-2. B&amp;C Summary Backup'!G37+'Q_ES-2. B&amp;C Summary Backup'!G37</f>
        <v>0</v>
      </c>
      <c r="H37" s="180">
        <v>0</v>
      </c>
      <c r="I37" s="181">
        <f>'MM_ES-2. B&amp;C Summary Backup'!I37+'Q_ES-2. B&amp;C Summary Backup'!I37</f>
        <v>0</v>
      </c>
      <c r="J37" s="181">
        <f>'MM_ES-2. B&amp;C Summary Backup'!J37+'Q_ES-2. B&amp;C Summary Backup'!J37</f>
        <v>0</v>
      </c>
      <c r="K37" s="181">
        <f>'MM_ES-2. B&amp;C Summary Backup'!K37+'Q_ES-2. B&amp;C Summary Backup'!K37</f>
        <v>0</v>
      </c>
      <c r="L37" s="181">
        <f>'MM_ES-2. B&amp;C Summary Backup'!L37+'Q_ES-2. B&amp;C Summary Backup'!L37</f>
        <v>0</v>
      </c>
      <c r="M37" s="183">
        <f t="shared" si="0"/>
        <v>42838374.543592431</v>
      </c>
      <c r="N37" s="184">
        <f>(($M37-$E37)/((1+'MM_ES-1. Executive Summary'!$F$12)^$A37))+($E37/(1+'MM_ES-1. Executive Summary'!$F$13)^$A37)</f>
        <v>7398272.3270101566</v>
      </c>
      <c r="O37" s="185">
        <f>$M37/((1+'MM_ES-1. Executive Summary'!$F$13)^$A37)</f>
        <v>19863928.407899659</v>
      </c>
    </row>
    <row r="38" spans="1:15">
      <c r="A38" s="112">
        <f t="shared" si="2"/>
        <v>27</v>
      </c>
      <c r="B38" s="112">
        <f t="shared" si="1"/>
        <v>2049</v>
      </c>
      <c r="C38" s="180">
        <f>'MM_ES-2. B&amp;C Summary Backup'!C38+'Q_ES-2. B&amp;C Summary Backup'!C38</f>
        <v>723725.8</v>
      </c>
      <c r="D38" s="181">
        <f>'MM_ES-2. B&amp;C Summary Backup'!D38+'Q_ES-2. B&amp;C Summary Backup'!D38</f>
        <v>299765.1893692257</v>
      </c>
      <c r="E38" s="181">
        <f>'MM_ES-2. B&amp;C Summary Backup'!E38+'Q_ES-2. B&amp;C Summary Backup'!E38</f>
        <v>77934.851560605821</v>
      </c>
      <c r="F38" s="181">
        <f>'MM_ES-2. B&amp;C Summary Backup'!F38+'Q_ES-2. B&amp;C Summary Backup'!F38</f>
        <v>43212405.751201674</v>
      </c>
      <c r="G38" s="182">
        <f>'MM_ES-2. B&amp;C Summary Backup'!G38+'Q_ES-2. B&amp;C Summary Backup'!G38</f>
        <v>0</v>
      </c>
      <c r="H38" s="180">
        <v>0</v>
      </c>
      <c r="I38" s="181">
        <f>'MM_ES-2. B&amp;C Summary Backup'!I38+'Q_ES-2. B&amp;C Summary Backup'!I38</f>
        <v>0</v>
      </c>
      <c r="J38" s="181">
        <f>'MM_ES-2. B&amp;C Summary Backup'!J38+'Q_ES-2. B&amp;C Summary Backup'!J38</f>
        <v>0</v>
      </c>
      <c r="K38" s="181">
        <f>'MM_ES-2. B&amp;C Summary Backup'!K38+'Q_ES-2. B&amp;C Summary Backup'!K38</f>
        <v>0</v>
      </c>
      <c r="L38" s="181">
        <f>'MM_ES-2. B&amp;C Summary Backup'!L38+'Q_ES-2. B&amp;C Summary Backup'!L38</f>
        <v>0</v>
      </c>
      <c r="M38" s="183">
        <f t="shared" si="0"/>
        <v>44313831.592131503</v>
      </c>
      <c r="N38" s="184">
        <f>(($M38-$E38)/((1+'MM_ES-1. Executive Summary'!$F$12)^$A38))+($E38/(1+'MM_ES-1. Executive Summary'!$F$13)^$A38)</f>
        <v>7153984.5275583854</v>
      </c>
      <c r="O38" s="185">
        <f>$M38/((1+'MM_ES-1. Executive Summary'!$F$13)^$A38)</f>
        <v>19949602.001814764</v>
      </c>
    </row>
    <row r="39" spans="1:15">
      <c r="A39" s="112">
        <f t="shared" si="2"/>
        <v>28</v>
      </c>
      <c r="B39" s="112">
        <f t="shared" si="1"/>
        <v>2050</v>
      </c>
      <c r="C39" s="180">
        <f>'MM_ES-2. B&amp;C Summary Backup'!C39+'Q_ES-2. B&amp;C Summary Backup'!C39</f>
        <v>723725.8</v>
      </c>
      <c r="D39" s="181">
        <f>'MM_ES-2. B&amp;C Summary Backup'!D39+'Q_ES-2. B&amp;C Summary Backup'!D39</f>
        <v>310720.28612547612</v>
      </c>
      <c r="E39" s="181">
        <f>'MM_ES-2. B&amp;C Summary Backup'!E39+'Q_ES-2. B&amp;C Summary Backup'!E39</f>
        <v>81436.222325866445</v>
      </c>
      <c r="F39" s="181">
        <f>'MM_ES-2. B&amp;C Summary Backup'!F39+'Q_ES-2. B&amp;C Summary Backup'!F39</f>
        <v>44673406.332219243</v>
      </c>
      <c r="G39" s="182">
        <f>'MM_ES-2. B&amp;C Summary Backup'!G39+'Q_ES-2. B&amp;C Summary Backup'!G39</f>
        <v>0</v>
      </c>
      <c r="H39" s="180">
        <v>0</v>
      </c>
      <c r="I39" s="181">
        <f>'MM_ES-2. B&amp;C Summary Backup'!I39+'Q_ES-2. B&amp;C Summary Backup'!I39</f>
        <v>0</v>
      </c>
      <c r="J39" s="181">
        <f>'MM_ES-2. B&amp;C Summary Backup'!J39+'Q_ES-2. B&amp;C Summary Backup'!J39</f>
        <v>0</v>
      </c>
      <c r="K39" s="181">
        <f>'MM_ES-2. B&amp;C Summary Backup'!K39+'Q_ES-2. B&amp;C Summary Backup'!K39</f>
        <v>0</v>
      </c>
      <c r="L39" s="181">
        <f>'MM_ES-2. B&amp;C Summary Backup'!L39+'Q_ES-2. B&amp;C Summary Backup'!L39</f>
        <v>0</v>
      </c>
      <c r="M39" s="183">
        <f t="shared" si="0"/>
        <v>45789288.640670583</v>
      </c>
      <c r="N39" s="184">
        <f>(($M39-$E39)/((1+'MM_ES-1. Executive Summary'!$F$12)^$A39))+($E39/(1+'MM_ES-1. Executive Summary'!$F$13)^$A39)</f>
        <v>6910156.0088008745</v>
      </c>
      <c r="O39" s="185">
        <f>$M39/((1+'MM_ES-1. Executive Summary'!$F$13)^$A39)</f>
        <v>20013433.609047748</v>
      </c>
    </row>
    <row r="40" spans="1:15">
      <c r="A40" s="112">
        <f t="shared" si="2"/>
        <v>29</v>
      </c>
      <c r="B40" s="112">
        <f t="shared" si="1"/>
        <v>2051</v>
      </c>
      <c r="C40" s="180">
        <f>'MM_ES-2. B&amp;C Summary Backup'!C40+'Q_ES-2. B&amp;C Summary Backup'!C40</f>
        <v>723725.8</v>
      </c>
      <c r="D40" s="181">
        <f>'MM_ES-2. B&amp;C Summary Backup'!D40+'Q_ES-2. B&amp;C Summary Backup'!D40</f>
        <v>321675.38288172649</v>
      </c>
      <c r="E40" s="181">
        <f>'MM_ES-2. B&amp;C Summary Backup'!E40+'Q_ES-2. B&amp;C Summary Backup'!E40</f>
        <v>84937.593091127055</v>
      </c>
      <c r="F40" s="181">
        <f>'MM_ES-2. B&amp;C Summary Backup'!F40+'Q_ES-2. B&amp;C Summary Backup'!F40</f>
        <v>46134406.913236797</v>
      </c>
      <c r="G40" s="182">
        <f>'MM_ES-2. B&amp;C Summary Backup'!G40+'Q_ES-2. B&amp;C Summary Backup'!G40</f>
        <v>0</v>
      </c>
      <c r="H40" s="180">
        <v>0</v>
      </c>
      <c r="I40" s="181">
        <f>'MM_ES-2. B&amp;C Summary Backup'!I40+'Q_ES-2. B&amp;C Summary Backup'!I40</f>
        <v>0</v>
      </c>
      <c r="J40" s="181">
        <f>'MM_ES-2. B&amp;C Summary Backup'!J40+'Q_ES-2. B&amp;C Summary Backup'!J40</f>
        <v>0</v>
      </c>
      <c r="K40" s="181">
        <f>'MM_ES-2. B&amp;C Summary Backup'!K40+'Q_ES-2. B&amp;C Summary Backup'!K40</f>
        <v>0</v>
      </c>
      <c r="L40" s="181">
        <f>'MM_ES-2. B&amp;C Summary Backup'!L40+'Q_ES-2. B&amp;C Summary Backup'!L40</f>
        <v>0</v>
      </c>
      <c r="M40" s="183">
        <f t="shared" si="0"/>
        <v>47264745.689209647</v>
      </c>
      <c r="N40" s="184">
        <f>(($M40-$E40)/((1+'MM_ES-1. Executive Summary'!$F$12)^$A40))+($E40/(1+'MM_ES-1. Executive Summary'!$F$13)^$A40)</f>
        <v>6667769.6125692911</v>
      </c>
      <c r="O40" s="185">
        <f>$M40/((1+'MM_ES-1. Executive Summary'!$F$13)^$A40)</f>
        <v>20056622.898316141</v>
      </c>
    </row>
    <row r="41" spans="1:15">
      <c r="A41" s="112">
        <f t="shared" si="2"/>
        <v>30</v>
      </c>
      <c r="B41" s="112">
        <f t="shared" si="1"/>
        <v>2052</v>
      </c>
      <c r="C41" s="180">
        <f>'MM_ES-2. B&amp;C Summary Backup'!C41+'Q_ES-2. B&amp;C Summary Backup'!C41</f>
        <v>723725.8</v>
      </c>
      <c r="D41" s="181">
        <f>'MM_ES-2. B&amp;C Summary Backup'!D41+'Q_ES-2. B&amp;C Summary Backup'!D41</f>
        <v>332630.47963797685</v>
      </c>
      <c r="E41" s="181">
        <f>'MM_ES-2. B&amp;C Summary Backup'!E41+'Q_ES-2. B&amp;C Summary Backup'!E41</f>
        <v>88438.96385638768</v>
      </c>
      <c r="F41" s="181">
        <f>'MM_ES-2. B&amp;C Summary Backup'!F41+'Q_ES-2. B&amp;C Summary Backup'!F41</f>
        <v>47595407.494254373</v>
      </c>
      <c r="G41" s="182">
        <f>'MM_ES-2. B&amp;C Summary Backup'!G41+'Q_ES-2. B&amp;C Summary Backup'!G41</f>
        <v>0</v>
      </c>
      <c r="H41" s="180">
        <v>0</v>
      </c>
      <c r="I41" s="181">
        <f>'MM_ES-2. B&amp;C Summary Backup'!I41+'Q_ES-2. B&amp;C Summary Backup'!I41</f>
        <v>0</v>
      </c>
      <c r="J41" s="181">
        <f>'MM_ES-2. B&amp;C Summary Backup'!J41+'Q_ES-2. B&amp;C Summary Backup'!J41</f>
        <v>0</v>
      </c>
      <c r="K41" s="181">
        <f>'MM_ES-2. B&amp;C Summary Backup'!K41+'Q_ES-2. B&amp;C Summary Backup'!K41</f>
        <v>0</v>
      </c>
      <c r="L41" s="181">
        <f>'MM_ES-2. B&amp;C Summary Backup'!L41+'Q_ES-2. B&amp;C Summary Backup'!L41</f>
        <v>0</v>
      </c>
      <c r="M41" s="183">
        <f t="shared" si="0"/>
        <v>48740202.737748735</v>
      </c>
      <c r="N41" s="184">
        <f>(($M41-$E41)/((1+'MM_ES-1. Executive Summary'!$F$12)^$A41))+($E41/(1+'MM_ES-1. Executive Summary'!$F$13)^$A41)</f>
        <v>6427677.6335964818</v>
      </c>
      <c r="O41" s="185">
        <f>$M41/((1+'MM_ES-1. Executive Summary'!$F$13)^$A41)</f>
        <v>20080318.184073437</v>
      </c>
    </row>
    <row r="42" spans="1:15">
      <c r="A42" s="112">
        <f t="shared" si="2"/>
        <v>31</v>
      </c>
      <c r="B42" s="112">
        <f t="shared" si="1"/>
        <v>2053</v>
      </c>
      <c r="C42" s="180">
        <f>'MM_ES-2. B&amp;C Summary Backup'!C42+'Q_ES-2. B&amp;C Summary Backup'!C42</f>
        <v>723725.8</v>
      </c>
      <c r="D42" s="181">
        <f>'MM_ES-2. B&amp;C Summary Backup'!D42+'Q_ES-2. B&amp;C Summary Backup'!D42</f>
        <v>343585.57639422728</v>
      </c>
      <c r="E42" s="181">
        <f>'MM_ES-2. B&amp;C Summary Backup'!E42+'Q_ES-2. B&amp;C Summary Backup'!E42</f>
        <v>91940.33462164829</v>
      </c>
      <c r="F42" s="181">
        <f>'MM_ES-2. B&amp;C Summary Backup'!F42+'Q_ES-2. B&amp;C Summary Backup'!F42</f>
        <v>49056408.075271942</v>
      </c>
      <c r="G42" s="182">
        <f>'MM_ES-2. B&amp;C Summary Backup'!G42+'Q_ES-2. B&amp;C Summary Backup'!G42</f>
        <v>0</v>
      </c>
      <c r="H42" s="180">
        <v>0</v>
      </c>
      <c r="I42" s="181">
        <f>'MM_ES-2. B&amp;C Summary Backup'!I42+'Q_ES-2. B&amp;C Summary Backup'!I42</f>
        <v>0</v>
      </c>
      <c r="J42" s="181">
        <f>'MM_ES-2. B&amp;C Summary Backup'!J42+'Q_ES-2. B&amp;C Summary Backup'!J42</f>
        <v>0</v>
      </c>
      <c r="K42" s="181">
        <f>'MM_ES-2. B&amp;C Summary Backup'!K42+'Q_ES-2. B&amp;C Summary Backup'!K42</f>
        <v>0</v>
      </c>
      <c r="L42" s="181">
        <f>'MM_ES-2. B&amp;C Summary Backup'!L42+'Q_ES-2. B&amp;C Summary Backup'!L42</f>
        <v>0</v>
      </c>
      <c r="M42" s="183">
        <f t="shared" si="0"/>
        <v>50215659.786287814</v>
      </c>
      <c r="N42" s="184">
        <f>(($M42-$E42)/((1+'MM_ES-1. Executive Summary'!$F$12)^$A42))+($E42/(1+'MM_ES-1. Executive Summary'!$F$13)^$A42)</f>
        <v>6190614.6953637572</v>
      </c>
      <c r="O42" s="185">
        <f>$M42/((1+'MM_ES-1. Executive Summary'!$F$13)^$A42)</f>
        <v>20085618.400297042</v>
      </c>
    </row>
    <row r="43" spans="1:15">
      <c r="A43" s="112">
        <f t="shared" si="2"/>
        <v>32</v>
      </c>
      <c r="B43" s="112">
        <f t="shared" si="1"/>
        <v>2054</v>
      </c>
      <c r="C43" s="180">
        <f>'MM_ES-2. B&amp;C Summary Backup'!C43+'Q_ES-2. B&amp;C Summary Backup'!C43</f>
        <v>723725.8</v>
      </c>
      <c r="D43" s="181">
        <f>'MM_ES-2. B&amp;C Summary Backup'!D43+'Q_ES-2. B&amp;C Summary Backup'!D43</f>
        <v>354540.6731504777</v>
      </c>
      <c r="E43" s="181">
        <f>'MM_ES-2. B&amp;C Summary Backup'!E43+'Q_ES-2. B&amp;C Summary Backup'!E43</f>
        <v>95441.7053869089</v>
      </c>
      <c r="F43" s="181">
        <f>'MM_ES-2. B&amp;C Summary Backup'!F43+'Q_ES-2. B&amp;C Summary Backup'!F43</f>
        <v>50517408.65628951</v>
      </c>
      <c r="G43" s="182">
        <f>'MM_ES-2. B&amp;C Summary Backup'!G43+'Q_ES-2. B&amp;C Summary Backup'!G43</f>
        <v>0</v>
      </c>
      <c r="H43" s="180">
        <v>0</v>
      </c>
      <c r="I43" s="181">
        <f>'MM_ES-2. B&amp;C Summary Backup'!I43+'Q_ES-2. B&amp;C Summary Backup'!I43</f>
        <v>0</v>
      </c>
      <c r="J43" s="181">
        <f>'MM_ES-2. B&amp;C Summary Backup'!J43+'Q_ES-2. B&amp;C Summary Backup'!J43</f>
        <v>0</v>
      </c>
      <c r="K43" s="181">
        <f>'MM_ES-2. B&amp;C Summary Backup'!K43+'Q_ES-2. B&amp;C Summary Backup'!K43</f>
        <v>0</v>
      </c>
      <c r="L43" s="181">
        <f>'MM_ES-2. B&amp;C Summary Backup'!L43+'Q_ES-2. B&amp;C Summary Backup'!L43</f>
        <v>0</v>
      </c>
      <c r="M43" s="183">
        <f t="shared" si="0"/>
        <v>51691116.834826894</v>
      </c>
      <c r="N43" s="184">
        <f>(($M43-$E43)/((1+'MM_ES-1. Executive Summary'!$F$12)^$A43))+($E43/(1+'MM_ES-1. Executive Summary'!$F$13)^$A43)</f>
        <v>5957209.4998897444</v>
      </c>
      <c r="O43" s="185">
        <f>$M43/((1+'MM_ES-1. Executive Summary'!$F$13)^$A43)</f>
        <v>20073575.002864055</v>
      </c>
    </row>
    <row r="44" spans="1:15">
      <c r="A44" s="112">
        <f t="shared" si="2"/>
        <v>33</v>
      </c>
      <c r="B44" s="112">
        <f t="shared" si="1"/>
        <v>2055</v>
      </c>
      <c r="C44" s="180">
        <f>'MM_ES-2. B&amp;C Summary Backup'!C44+'Q_ES-2. B&amp;C Summary Backup'!C44</f>
        <v>723725.8</v>
      </c>
      <c r="D44" s="181">
        <f>'MM_ES-2. B&amp;C Summary Backup'!D44+'Q_ES-2. B&amp;C Summary Backup'!D44</f>
        <v>365495.76990672812</v>
      </c>
      <c r="E44" s="181">
        <f>'MM_ES-2. B&amp;C Summary Backup'!E44+'Q_ES-2. B&amp;C Summary Backup'!E44</f>
        <v>98943.076152169524</v>
      </c>
      <c r="F44" s="181">
        <f>'MM_ES-2. B&amp;C Summary Backup'!F44+'Q_ES-2. B&amp;C Summary Backup'!F44</f>
        <v>51978409.237307087</v>
      </c>
      <c r="G44" s="182">
        <f>'MM_ES-2. B&amp;C Summary Backup'!G44+'Q_ES-2. B&amp;C Summary Backup'!G44</f>
        <v>0</v>
      </c>
      <c r="H44" s="180">
        <v>0</v>
      </c>
      <c r="I44" s="181">
        <f>'MM_ES-2. B&amp;C Summary Backup'!I44+'Q_ES-2. B&amp;C Summary Backup'!I44</f>
        <v>0</v>
      </c>
      <c r="J44" s="181">
        <f>'MM_ES-2. B&amp;C Summary Backup'!J44+'Q_ES-2. B&amp;C Summary Backup'!J44</f>
        <v>0</v>
      </c>
      <c r="K44" s="181">
        <f>'MM_ES-2. B&amp;C Summary Backup'!K44+'Q_ES-2. B&amp;C Summary Backup'!K44</f>
        <v>0</v>
      </c>
      <c r="L44" s="181">
        <f>'MM_ES-2. B&amp;C Summary Backup'!L44+'Q_ES-2. B&amp;C Summary Backup'!L44</f>
        <v>0</v>
      </c>
      <c r="M44" s="183">
        <f t="shared" si="0"/>
        <v>53166573.883365981</v>
      </c>
      <c r="N44" s="184">
        <f>(($M44-$E44)/((1+'MM_ES-1. Executive Summary'!$F$12)^$A44))+($E44/(1+'MM_ES-1. Executive Summary'!$F$13)^$A44)</f>
        <v>5727995.5436928943</v>
      </c>
      <c r="O44" s="185">
        <f>$M44/((1+'MM_ES-1. Executive Summary'!$F$13)^$A44)</f>
        <v>20045193.803000197</v>
      </c>
    </row>
    <row r="45" spans="1:15">
      <c r="A45" s="112">
        <f t="shared" si="2"/>
        <v>34</v>
      </c>
      <c r="B45" s="112">
        <f t="shared" si="1"/>
        <v>2056</v>
      </c>
      <c r="C45" s="180">
        <f>'MM_ES-2. B&amp;C Summary Backup'!C45+'Q_ES-2. B&amp;C Summary Backup'!C45</f>
        <v>723725.8</v>
      </c>
      <c r="D45" s="181">
        <f>'MM_ES-2. B&amp;C Summary Backup'!D45+'Q_ES-2. B&amp;C Summary Backup'!D45</f>
        <v>376450.86666297854</v>
      </c>
      <c r="E45" s="181">
        <f>'MM_ES-2. B&amp;C Summary Backup'!E45+'Q_ES-2. B&amp;C Summary Backup'!E45</f>
        <v>102444.44691743013</v>
      </c>
      <c r="F45" s="181">
        <f>'MM_ES-2. B&amp;C Summary Backup'!F45+'Q_ES-2. B&amp;C Summary Backup'!F45</f>
        <v>53439409.81832464</v>
      </c>
      <c r="G45" s="182">
        <f>'MM_ES-2. B&amp;C Summary Backup'!G45+'Q_ES-2. B&amp;C Summary Backup'!G45</f>
        <v>0</v>
      </c>
      <c r="H45" s="180">
        <v>0</v>
      </c>
      <c r="I45" s="181">
        <f>'MM_ES-2. B&amp;C Summary Backup'!I45+'Q_ES-2. B&amp;C Summary Backup'!I45</f>
        <v>0</v>
      </c>
      <c r="J45" s="181">
        <f>'MM_ES-2. B&amp;C Summary Backup'!J45+'Q_ES-2. B&amp;C Summary Backup'!J45</f>
        <v>0</v>
      </c>
      <c r="K45" s="181">
        <f>'MM_ES-2. B&amp;C Summary Backup'!K45+'Q_ES-2. B&amp;C Summary Backup'!K45</f>
        <v>0</v>
      </c>
      <c r="L45" s="181">
        <f>'MM_ES-2. B&amp;C Summary Backup'!L45+'Q_ES-2. B&amp;C Summary Backup'!L45</f>
        <v>0</v>
      </c>
      <c r="M45" s="183">
        <f t="shared" si="0"/>
        <v>54642030.931905046</v>
      </c>
      <c r="N45" s="184">
        <f>(($M45-$E45)/((1+'MM_ES-1. Executive Summary'!$F$12)^$A45))+($E45/(1+'MM_ES-1. Executive Summary'!$F$13)^$A45)</f>
        <v>5503420.884911323</v>
      </c>
      <c r="O45" s="185">
        <f>$M45/((1+'MM_ES-1. Executive Summary'!$F$13)^$A45)</f>
        <v>20001436.734203365</v>
      </c>
    </row>
    <row r="46" spans="1:15">
      <c r="A46" s="112">
        <f t="shared" si="2"/>
        <v>35</v>
      </c>
      <c r="B46" s="112">
        <f t="shared" si="1"/>
        <v>2057</v>
      </c>
      <c r="C46" s="180">
        <f>'MM_ES-2. B&amp;C Summary Backup'!C46+'Q_ES-2. B&amp;C Summary Backup'!C46</f>
        <v>723725.8</v>
      </c>
      <c r="D46" s="181">
        <f>'MM_ES-2. B&amp;C Summary Backup'!D46+'Q_ES-2. B&amp;C Summary Backup'!D46</f>
        <v>387405.96341922897</v>
      </c>
      <c r="E46" s="181">
        <f>'MM_ES-2. B&amp;C Summary Backup'!E46+'Q_ES-2. B&amp;C Summary Backup'!E46</f>
        <v>105945.81768269076</v>
      </c>
      <c r="F46" s="181">
        <f>'MM_ES-2. B&amp;C Summary Backup'!F46+'Q_ES-2. B&amp;C Summary Backup'!F46</f>
        <v>54890561.880762294</v>
      </c>
      <c r="G46" s="182">
        <f>'MM_ES-2. B&amp;C Summary Backup'!G46+'Q_ES-2. B&amp;C Summary Backup'!G46</f>
        <v>0</v>
      </c>
      <c r="H46" s="180">
        <v>0</v>
      </c>
      <c r="I46" s="181">
        <f>'MM_ES-2. B&amp;C Summary Backup'!I46+'Q_ES-2. B&amp;C Summary Backup'!I46</f>
        <v>0</v>
      </c>
      <c r="J46" s="181">
        <f>'MM_ES-2. B&amp;C Summary Backup'!J46+'Q_ES-2. B&amp;C Summary Backup'!J46</f>
        <v>0</v>
      </c>
      <c r="K46" s="181">
        <f>'MM_ES-2. B&amp;C Summary Backup'!K46+'Q_ES-2. B&amp;C Summary Backup'!K46</f>
        <v>0</v>
      </c>
      <c r="L46" s="181">
        <f>'MM_ES-2. B&amp;C Summary Backup'!L46+'Q_ES-2. B&amp;C Summary Backup'!L46</f>
        <v>0</v>
      </c>
      <c r="M46" s="183">
        <f t="shared" si="0"/>
        <v>56107639.461864211</v>
      </c>
      <c r="N46" s="184">
        <f>(($M46-$E46)/((1+'MM_ES-1. Executive Summary'!$F$12)^$A46))+($E46/(1+'MM_ES-1. Executive Summary'!$F$13)^$A46)</f>
        <v>5282934.598674003</v>
      </c>
      <c r="O46" s="185">
        <f>$M46/((1+'MM_ES-1. Executive Summary'!$F$13)^$A46)</f>
        <v>19939723.554965261</v>
      </c>
    </row>
    <row r="47" spans="1:15" ht="13.5" thickBot="1">
      <c r="A47" s="322">
        <f t="shared" si="2"/>
        <v>36</v>
      </c>
      <c r="B47" s="322">
        <f t="shared" si="1"/>
        <v>2058</v>
      </c>
      <c r="C47" s="323">
        <f>'MM_ES-2. B&amp;C Summary Backup'!C47+'Q_ES-2. B&amp;C Summary Backup'!C47</f>
        <v>723725.8</v>
      </c>
      <c r="D47" s="324">
        <f>'MM_ES-2. B&amp;C Summary Backup'!D47+'Q_ES-2. B&amp;C Summary Backup'!D47</f>
        <v>398361.06017547933</v>
      </c>
      <c r="E47" s="324">
        <f>'MM_ES-2. B&amp;C Summary Backup'!E47+'Q_ES-2. B&amp;C Summary Backup'!E47</f>
        <v>109447.18844795132</v>
      </c>
      <c r="F47" s="324">
        <f>'MM_ES-2. B&amp;C Summary Backup'!F47+'Q_ES-2. B&amp;C Summary Backup'!F47</f>
        <v>54900410.399342217</v>
      </c>
      <c r="G47" s="325">
        <f>'MM_ES-2. B&amp;C Summary Backup'!G47+'Q_ES-2. B&amp;C Summary Backup'!G47</f>
        <v>0</v>
      </c>
      <c r="H47" s="323">
        <v>0</v>
      </c>
      <c r="I47" s="324">
        <f>'MM_ES-2. B&amp;C Summary Backup'!I47+'Q_ES-2. B&amp;C Summary Backup'!I47</f>
        <v>0</v>
      </c>
      <c r="J47" s="324">
        <f>'MM_ES-2. B&amp;C Summary Backup'!J47+'Q_ES-2. B&amp;C Summary Backup'!J47</f>
        <v>0</v>
      </c>
      <c r="K47" s="324">
        <f>'MM_ES-2. B&amp;C Summary Backup'!K47+'Q_ES-2. B&amp;C Summary Backup'!K47</f>
        <v>0</v>
      </c>
      <c r="L47" s="324">
        <f>'MM_ES-2. B&amp;C Summary Backup'!L47+'Q_ES-2. B&amp;C Summary Backup'!L47</f>
        <v>0</v>
      </c>
      <c r="M47" s="326">
        <f t="shared" si="0"/>
        <v>56131944.447965644</v>
      </c>
      <c r="N47" s="327">
        <f>(($M47-$E47)/((1+'MM_ES-1. Executive Summary'!$F$12)^$A47))+($E47/(1+'MM_ES-1. Executive Summary'!$F$13)^$A47)</f>
        <v>4941717.7276831446</v>
      </c>
      <c r="O47" s="328">
        <f>$M47/((1+'MM_ES-1. Executive Summary'!$F$13)^$A47)</f>
        <v>19367340.916028813</v>
      </c>
    </row>
    <row r="48" spans="1:15" ht="13.5" hidden="1" thickTop="1">
      <c r="A48" s="112">
        <f t="shared" si="2"/>
        <v>37</v>
      </c>
      <c r="B48" s="112" t="str">
        <f t="shared" si="1"/>
        <v/>
      </c>
      <c r="C48" s="180">
        <f>'MM_ES-2. B&amp;C Summary Backup'!C48+'Q_ES-2. B&amp;C Summary Backup'!C48</f>
        <v>0</v>
      </c>
      <c r="D48" s="181">
        <f>'MM_ES-2. B&amp;C Summary Backup'!D48+'Q_ES-2. B&amp;C Summary Backup'!D48</f>
        <v>0</v>
      </c>
      <c r="E48" s="181">
        <f>'MM_ES-2. B&amp;C Summary Backup'!E48+'Q_ES-2. B&amp;C Summary Backup'!E48</f>
        <v>0</v>
      </c>
      <c r="F48" s="181">
        <f>'MM_ES-2. B&amp;C Summary Backup'!F48+'Q_ES-2. B&amp;C Summary Backup'!F48</f>
        <v>0</v>
      </c>
      <c r="G48" s="182">
        <f>'MM_ES-2. B&amp;C Summary Backup'!G48+'Q_ES-2. B&amp;C Summary Backup'!G48</f>
        <v>0</v>
      </c>
      <c r="H48" s="181"/>
      <c r="I48" s="181">
        <f>'MM_ES-2. B&amp;C Summary Backup'!I48+'Q_ES-2. B&amp;C Summary Backup'!I48</f>
        <v>0</v>
      </c>
      <c r="J48" s="181">
        <f>'MM_ES-2. B&amp;C Summary Backup'!J48+'Q_ES-2. B&amp;C Summary Backup'!J48</f>
        <v>0</v>
      </c>
      <c r="K48" s="181">
        <f>'MM_ES-2. B&amp;C Summary Backup'!K48+'Q_ES-2. B&amp;C Summary Backup'!K48</f>
        <v>0</v>
      </c>
      <c r="L48" s="181">
        <f>'MM_ES-2. B&amp;C Summary Backup'!L48+'Q_ES-2. B&amp;C Summary Backup'!L48</f>
        <v>0</v>
      </c>
      <c r="M48" s="183">
        <f t="shared" si="0"/>
        <v>0</v>
      </c>
      <c r="N48" s="184">
        <v>0</v>
      </c>
      <c r="O48" s="185">
        <v>0</v>
      </c>
    </row>
    <row r="49" spans="1:15" ht="13.5" hidden="1" thickTop="1">
      <c r="A49" s="112">
        <f t="shared" si="2"/>
        <v>38</v>
      </c>
      <c r="B49" s="112" t="str">
        <f t="shared" si="1"/>
        <v/>
      </c>
      <c r="C49" s="180">
        <f>'MM_ES-2. B&amp;C Summary Backup'!C49+'Q_ES-2. B&amp;C Summary Backup'!C49</f>
        <v>0</v>
      </c>
      <c r="D49" s="181">
        <f>'MM_ES-2. B&amp;C Summary Backup'!D49+'Q_ES-2. B&amp;C Summary Backup'!D49</f>
        <v>0</v>
      </c>
      <c r="E49" s="181">
        <f>'MM_ES-2. B&amp;C Summary Backup'!E49+'Q_ES-2. B&amp;C Summary Backup'!E49</f>
        <v>0</v>
      </c>
      <c r="F49" s="181">
        <f>'MM_ES-2. B&amp;C Summary Backup'!F49+'Q_ES-2. B&amp;C Summary Backup'!F49</f>
        <v>0</v>
      </c>
      <c r="G49" s="182">
        <f>'MM_ES-2. B&amp;C Summary Backup'!G49+'Q_ES-2. B&amp;C Summary Backup'!G49</f>
        <v>0</v>
      </c>
      <c r="H49" s="181"/>
      <c r="I49" s="181">
        <f>'MM_ES-2. B&amp;C Summary Backup'!I49+'Q_ES-2. B&amp;C Summary Backup'!I49</f>
        <v>0</v>
      </c>
      <c r="J49" s="181">
        <f>'MM_ES-2. B&amp;C Summary Backup'!J49+'Q_ES-2. B&amp;C Summary Backup'!J49</f>
        <v>0</v>
      </c>
      <c r="K49" s="181">
        <f>'MM_ES-2. B&amp;C Summary Backup'!K49+'Q_ES-2. B&amp;C Summary Backup'!K49</f>
        <v>0</v>
      </c>
      <c r="L49" s="181">
        <f>'MM_ES-2. B&amp;C Summary Backup'!L49+'Q_ES-2. B&amp;C Summary Backup'!L49</f>
        <v>0</v>
      </c>
      <c r="M49" s="183">
        <f t="shared" si="0"/>
        <v>0</v>
      </c>
      <c r="N49" s="184">
        <v>0</v>
      </c>
      <c r="O49" s="185">
        <v>0</v>
      </c>
    </row>
    <row r="50" spans="1:15" ht="13.5" hidden="1" thickTop="1">
      <c r="A50" s="112">
        <f t="shared" si="2"/>
        <v>39</v>
      </c>
      <c r="B50" s="112" t="str">
        <f t="shared" si="1"/>
        <v/>
      </c>
      <c r="C50" s="180">
        <f>'MM_ES-2. B&amp;C Summary Backup'!C50+'Q_ES-2. B&amp;C Summary Backup'!C50</f>
        <v>0</v>
      </c>
      <c r="D50" s="181">
        <f>'MM_ES-2. B&amp;C Summary Backup'!D50+'Q_ES-2. B&amp;C Summary Backup'!D50</f>
        <v>0</v>
      </c>
      <c r="E50" s="181">
        <f>'MM_ES-2. B&amp;C Summary Backup'!E50+'Q_ES-2. B&amp;C Summary Backup'!E50</f>
        <v>0</v>
      </c>
      <c r="F50" s="181">
        <f>'MM_ES-2. B&amp;C Summary Backup'!F50+'Q_ES-2. B&amp;C Summary Backup'!F50</f>
        <v>0</v>
      </c>
      <c r="G50" s="182">
        <f>'MM_ES-2. B&amp;C Summary Backup'!G50+'Q_ES-2. B&amp;C Summary Backup'!G50</f>
        <v>0</v>
      </c>
      <c r="H50" s="181"/>
      <c r="I50" s="181">
        <f>'MM_ES-2. B&amp;C Summary Backup'!I50+'Q_ES-2. B&amp;C Summary Backup'!I50</f>
        <v>0</v>
      </c>
      <c r="J50" s="181">
        <f>'MM_ES-2. B&amp;C Summary Backup'!J50+'Q_ES-2. B&amp;C Summary Backup'!J50</f>
        <v>0</v>
      </c>
      <c r="K50" s="181">
        <f>'MM_ES-2. B&amp;C Summary Backup'!K50+'Q_ES-2. B&amp;C Summary Backup'!K50</f>
        <v>0</v>
      </c>
      <c r="L50" s="181">
        <f>'MM_ES-2. B&amp;C Summary Backup'!L50+'Q_ES-2. B&amp;C Summary Backup'!L50</f>
        <v>0</v>
      </c>
      <c r="M50" s="183">
        <f t="shared" si="0"/>
        <v>0</v>
      </c>
      <c r="N50" s="184">
        <v>0</v>
      </c>
      <c r="O50" s="185">
        <v>0</v>
      </c>
    </row>
    <row r="51" spans="1:15" ht="13.5" hidden="1" thickTop="1">
      <c r="A51" s="112">
        <f t="shared" si="2"/>
        <v>40</v>
      </c>
      <c r="B51" s="112" t="str">
        <f t="shared" si="1"/>
        <v/>
      </c>
      <c r="C51" s="180">
        <f>'MM_ES-2. B&amp;C Summary Backup'!C51+'Q_ES-2. B&amp;C Summary Backup'!C51</f>
        <v>0</v>
      </c>
      <c r="D51" s="181">
        <f>'MM_ES-2. B&amp;C Summary Backup'!D51+'Q_ES-2. B&amp;C Summary Backup'!D51</f>
        <v>0</v>
      </c>
      <c r="E51" s="181">
        <f>'MM_ES-2. B&amp;C Summary Backup'!E51+'Q_ES-2. B&amp;C Summary Backup'!E51</f>
        <v>0</v>
      </c>
      <c r="F51" s="181">
        <f>'MM_ES-2. B&amp;C Summary Backup'!F51+'Q_ES-2. B&amp;C Summary Backup'!F51</f>
        <v>0</v>
      </c>
      <c r="G51" s="182">
        <f>'MM_ES-2. B&amp;C Summary Backup'!G51+'Q_ES-2. B&amp;C Summary Backup'!G51</f>
        <v>0</v>
      </c>
      <c r="H51" s="181"/>
      <c r="I51" s="181">
        <f>'MM_ES-2. B&amp;C Summary Backup'!I51+'Q_ES-2. B&amp;C Summary Backup'!I51</f>
        <v>0</v>
      </c>
      <c r="J51" s="181">
        <f>'MM_ES-2. B&amp;C Summary Backup'!J51+'Q_ES-2. B&amp;C Summary Backup'!J51</f>
        <v>0</v>
      </c>
      <c r="K51" s="181">
        <f>'MM_ES-2. B&amp;C Summary Backup'!K51+'Q_ES-2. B&amp;C Summary Backup'!K51</f>
        <v>0</v>
      </c>
      <c r="L51" s="181">
        <f>'MM_ES-2. B&amp;C Summary Backup'!L51+'Q_ES-2. B&amp;C Summary Backup'!L51</f>
        <v>0</v>
      </c>
      <c r="M51" s="183">
        <f t="shared" si="0"/>
        <v>0</v>
      </c>
      <c r="N51" s="184">
        <v>0</v>
      </c>
      <c r="O51" s="185">
        <v>0</v>
      </c>
    </row>
    <row r="52" spans="1:15" ht="33" customHeight="1" thickTop="1">
      <c r="A52" s="461" t="s">
        <v>46</v>
      </c>
      <c r="B52" s="461"/>
      <c r="C52" s="195">
        <f>'MM_ES-2. B&amp;C Summary Backup'!C52+'Q_ES-2. B&amp;C Summary Backup'!C52</f>
        <v>22435499.799999997</v>
      </c>
      <c r="D52" s="195">
        <f>'MM_ES-2. B&amp;C Summary Backup'!D52+'Q_ES-2. B&amp;C Summary Backup'!D52</f>
        <v>7247784.0867159916</v>
      </c>
      <c r="E52" s="195">
        <f>'MM_ES-2. B&amp;C Summary Backup'!E52+'Q_ES-2. B&amp;C Summary Backup'!E52</f>
        <v>1773069.819812001</v>
      </c>
      <c r="F52" s="195">
        <f>'MM_ES-2. B&amp;C Summary Backup'!F52+'Q_ES-2. B&amp;C Summary Backup'!F52</f>
        <v>1066367621.1183867</v>
      </c>
      <c r="G52" s="330">
        <f>'MM_ES-2. B&amp;C Summary Backup'!G52+'Q_ES-2. B&amp;C Summary Backup'!G52</f>
        <v>0</v>
      </c>
      <c r="H52" s="195">
        <f>'MM_ES-2. B&amp;C Summary Backup'!H52+'Q_ES-2. B&amp;C Summary Backup'!H52</f>
        <v>-2355731.4133653333</v>
      </c>
      <c r="I52" s="195">
        <f>'MM_ES-2. B&amp;C Summary Backup'!I52+'Q_ES-2. B&amp;C Summary Backup'!I52</f>
        <v>0</v>
      </c>
      <c r="J52" s="195">
        <f>'MM_ES-2. B&amp;C Summary Backup'!J52+'Q_ES-2. B&amp;C Summary Backup'!J52</f>
        <v>0</v>
      </c>
      <c r="K52" s="195">
        <f>'MM_ES-2. B&amp;C Summary Backup'!K52+'Q_ES-2. B&amp;C Summary Backup'!K52</f>
        <v>0</v>
      </c>
      <c r="L52" s="195">
        <f>'MM_ES-2. B&amp;C Summary Backup'!L52+'Q_ES-2. B&amp;C Summary Backup'!L52</f>
        <v>0</v>
      </c>
      <c r="M52" s="196">
        <f t="shared" ref="M52:O52" si="3">SUM(M12:M47)</f>
        <v>1095468243.4115496</v>
      </c>
      <c r="N52" s="197">
        <f t="shared" si="3"/>
        <v>248841254.66081029</v>
      </c>
      <c r="O52" s="198">
        <f t="shared" si="3"/>
        <v>549850252.82351613</v>
      </c>
    </row>
    <row r="55" spans="1:15">
      <c r="A55" s="71" t="s">
        <v>47</v>
      </c>
    </row>
    <row r="56" spans="1:15">
      <c r="C56" s="462"/>
      <c r="D56" s="462"/>
      <c r="E56" s="462"/>
      <c r="F56" s="462"/>
      <c r="G56" s="462"/>
      <c r="H56" s="462"/>
      <c r="I56" s="462"/>
      <c r="J56" s="462"/>
    </row>
    <row r="57" spans="1:15" ht="38.25">
      <c r="A57" s="255" t="s">
        <v>32</v>
      </c>
      <c r="B57" s="255" t="s">
        <v>21</v>
      </c>
      <c r="C57" s="255" t="s">
        <v>48</v>
      </c>
      <c r="D57" s="255" t="s">
        <v>49</v>
      </c>
      <c r="E57" s="336" t="s">
        <v>50</v>
      </c>
      <c r="F57" s="334" t="s">
        <v>51</v>
      </c>
      <c r="G57" s="335" t="s">
        <v>52</v>
      </c>
      <c r="H57" s="89"/>
    </row>
    <row r="58" spans="1:15">
      <c r="A58" s="112">
        <v>1</v>
      </c>
      <c r="B58" s="112">
        <f>First_Year</f>
        <v>2023</v>
      </c>
      <c r="C58" s="186">
        <f>'MM_ES-2. B&amp;C Summary Backup'!C58+'Q_ES-2. B&amp;C Summary Backup'!C58</f>
        <v>1180000</v>
      </c>
      <c r="D58" s="186">
        <f>'MM_ES-2. B&amp;C Summary Backup'!D58+'Q_ES-2. B&amp;C Summary Backup'!D58</f>
        <v>0</v>
      </c>
      <c r="E58" s="187">
        <f t="shared" ref="E58:E97" si="4">SUM(C58:D58)</f>
        <v>1180000</v>
      </c>
      <c r="F58" s="184">
        <f>$E58/((1+'MM_ES-1. Executive Summary'!$F$12)^$A12)</f>
        <v>1102803.7383177569</v>
      </c>
      <c r="G58" s="185">
        <f>$E58/((1+'MM_ES-1. Executive Summary'!$F$13)^$A12)</f>
        <v>1145631.067961165</v>
      </c>
      <c r="H58" s="452"/>
    </row>
    <row r="59" spans="1:15">
      <c r="A59" s="112">
        <f>A58+1</f>
        <v>2</v>
      </c>
      <c r="B59" s="112">
        <f t="shared" ref="B59:B97" si="5">IFERROR(IF(B58+1&lt;Last_Year+1,B58+1,""),"")</f>
        <v>2024</v>
      </c>
      <c r="C59" s="186">
        <f>'MM_ES-2. B&amp;C Summary Backup'!C59+'Q_ES-2. B&amp;C Summary Backup'!C59</f>
        <v>7580000</v>
      </c>
      <c r="D59" s="186">
        <f>'MM_ES-2. B&amp;C Summary Backup'!D59+'Q_ES-2. B&amp;C Summary Backup'!D59</f>
        <v>0</v>
      </c>
      <c r="E59" s="187">
        <f t="shared" si="4"/>
        <v>7580000</v>
      </c>
      <c r="F59" s="184">
        <f>$E59/((1+'MM_ES-1. Executive Summary'!$F$12)^$A13)</f>
        <v>6620665.560310944</v>
      </c>
      <c r="G59" s="185">
        <f>$E59/((1+'MM_ES-1. Executive Summary'!$F$13)^$A13)</f>
        <v>7144876.9912338583</v>
      </c>
      <c r="H59" s="452"/>
    </row>
    <row r="60" spans="1:15">
      <c r="A60" s="112">
        <f t="shared" ref="A60:A97" si="6">A59+1</f>
        <v>3</v>
      </c>
      <c r="B60" s="112">
        <f t="shared" si="5"/>
        <v>2025</v>
      </c>
      <c r="C60" s="186">
        <f>'MM_ES-2. B&amp;C Summary Backup'!C60+'Q_ES-2. B&amp;C Summary Backup'!C60</f>
        <v>68400000</v>
      </c>
      <c r="D60" s="186">
        <f>'MM_ES-2. B&amp;C Summary Backup'!D60+'Q_ES-2. B&amp;C Summary Backup'!D60</f>
        <v>0</v>
      </c>
      <c r="E60" s="187">
        <f t="shared" si="4"/>
        <v>68400000</v>
      </c>
      <c r="F60" s="184">
        <f>$E60/((1+'MM_ES-1. Executive Summary'!$F$12)^$A14)</f>
        <v>55834774.779334269</v>
      </c>
      <c r="G60" s="185">
        <f>$E60/((1+'MM_ES-1. Executive Summary'!$F$13)^$A14)</f>
        <v>62595689.499756113</v>
      </c>
      <c r="H60" s="452"/>
    </row>
    <row r="61" spans="1:15">
      <c r="A61" s="112">
        <f t="shared" si="6"/>
        <v>4</v>
      </c>
      <c r="B61" s="112">
        <f t="shared" si="5"/>
        <v>2026</v>
      </c>
      <c r="C61" s="186">
        <f>'MM_ES-2. B&amp;C Summary Backup'!C61+'Q_ES-2. B&amp;C Summary Backup'!C61</f>
        <v>29100000</v>
      </c>
      <c r="D61" s="186">
        <f>'MM_ES-2. B&amp;C Summary Backup'!D61+'Q_ES-2. B&amp;C Summary Backup'!D61</f>
        <v>0</v>
      </c>
      <c r="E61" s="187">
        <f t="shared" si="4"/>
        <v>29100000</v>
      </c>
      <c r="F61" s="184">
        <f>$E61/((1+'MM_ES-1. Executive Summary'!$F$12)^$A15)</f>
        <v>22200250.670582984</v>
      </c>
      <c r="G61" s="185">
        <f>$E61/((1+'MM_ES-1. Executive Summary'!$F$13)^$A15)</f>
        <v>25854973.094346549</v>
      </c>
      <c r="H61" s="452"/>
    </row>
    <row r="62" spans="1:15">
      <c r="A62" s="113">
        <f t="shared" si="6"/>
        <v>5</v>
      </c>
      <c r="B62" s="113">
        <f t="shared" si="5"/>
        <v>2027</v>
      </c>
      <c r="C62" s="189">
        <f>'MM_ES-2. B&amp;C Summary Backup'!C62+'Q_ES-2. B&amp;C Summary Backup'!C62</f>
        <v>12525000</v>
      </c>
      <c r="D62" s="189">
        <f>'MM_ES-2. B&amp;C Summary Backup'!D62+'Q_ES-2. B&amp;C Summary Backup'!D62</f>
        <v>0</v>
      </c>
      <c r="E62" s="194">
        <f t="shared" si="4"/>
        <v>12525000</v>
      </c>
      <c r="F62" s="192">
        <f>$E62/((1+'MM_ES-1. Executive Summary'!$F$12)^$A16)</f>
        <v>8930151.8980329465</v>
      </c>
      <c r="G62" s="193">
        <f>$E62/((1+'MM_ES-1. Executive Summary'!$F$13)^$A16)</f>
        <v>10804175.024411656</v>
      </c>
      <c r="H62" s="452"/>
    </row>
    <row r="63" spans="1:15">
      <c r="A63" s="113">
        <f t="shared" si="6"/>
        <v>6</v>
      </c>
      <c r="B63" s="113">
        <f t="shared" si="5"/>
        <v>2028</v>
      </c>
      <c r="C63" s="189">
        <f>'MM_ES-2. B&amp;C Summary Backup'!C63+'Q_ES-2. B&amp;C Summary Backup'!C63</f>
        <v>16215000</v>
      </c>
      <c r="D63" s="189">
        <f>'MM_ES-2. B&amp;C Summary Backup'!D63+'Q_ES-2. B&amp;C Summary Backup'!D63</f>
        <v>0</v>
      </c>
      <c r="E63" s="194">
        <f t="shared" si="4"/>
        <v>16215000</v>
      </c>
      <c r="F63" s="192">
        <f>$E63/((1+'MM_ES-1. Executive Summary'!$F$12)^$A17)</f>
        <v>10804739.15918475</v>
      </c>
      <c r="G63" s="193">
        <f>$E63/((1+'MM_ES-1. Executive Summary'!$F$13)^$A17)</f>
        <v>13579807.222125456</v>
      </c>
      <c r="H63" s="452"/>
    </row>
    <row r="64" spans="1:15">
      <c r="A64" s="112">
        <f t="shared" si="6"/>
        <v>7</v>
      </c>
      <c r="B64" s="112">
        <f t="shared" si="5"/>
        <v>2029</v>
      </c>
      <c r="C64" s="186">
        <f>'MM_ES-2. B&amp;C Summary Backup'!C64+'Q_ES-2. B&amp;C Summary Backup'!C64</f>
        <v>0</v>
      </c>
      <c r="D64" s="186">
        <f>'MM_ES-2. B&amp;C Summary Backup'!D64+'Q_ES-2. B&amp;C Summary Backup'!D64</f>
        <v>1048166.6666666667</v>
      </c>
      <c r="E64" s="187">
        <f t="shared" si="4"/>
        <v>1048166.6666666667</v>
      </c>
      <c r="F64" s="184">
        <f>$E64/((1+'MM_ES-1. Executive Summary'!$F$12)^$A18)</f>
        <v>652745.52111869899</v>
      </c>
      <c r="G64" s="185">
        <f>$E64/((1+'MM_ES-1. Executive Summary'!$F$13)^$A18)</f>
        <v>852255.41913972539</v>
      </c>
      <c r="H64" s="452"/>
    </row>
    <row r="65" spans="1:8">
      <c r="A65" s="112">
        <f t="shared" si="6"/>
        <v>8</v>
      </c>
      <c r="B65" s="112">
        <f t="shared" si="5"/>
        <v>2030</v>
      </c>
      <c r="C65" s="186">
        <f>'MM_ES-2. B&amp;C Summary Backup'!C65+'Q_ES-2. B&amp;C Summary Backup'!C65</f>
        <v>0</v>
      </c>
      <c r="D65" s="186">
        <f>'MM_ES-2. B&amp;C Summary Backup'!D65+'Q_ES-2. B&amp;C Summary Backup'!D65</f>
        <v>1048166.6666666667</v>
      </c>
      <c r="E65" s="187">
        <f t="shared" si="4"/>
        <v>1048166.6666666667</v>
      </c>
      <c r="F65" s="184">
        <f>$E65/((1+'MM_ES-1. Executive Summary'!$F$12)^$A19)</f>
        <v>610042.5431015878</v>
      </c>
      <c r="G65" s="185">
        <f>$E65/((1+'MM_ES-1. Executive Summary'!$F$13)^$A19)</f>
        <v>827432.44576672371</v>
      </c>
      <c r="H65" s="452"/>
    </row>
    <row r="66" spans="1:8">
      <c r="A66" s="112">
        <f t="shared" si="6"/>
        <v>9</v>
      </c>
      <c r="B66" s="112">
        <f t="shared" si="5"/>
        <v>2031</v>
      </c>
      <c r="C66" s="186">
        <f>'MM_ES-2. B&amp;C Summary Backup'!C66+'Q_ES-2. B&amp;C Summary Backup'!C66</f>
        <v>0</v>
      </c>
      <c r="D66" s="186">
        <f>'MM_ES-2. B&amp;C Summary Backup'!D66+'Q_ES-2. B&amp;C Summary Backup'!D66</f>
        <v>1048166.6666666667</v>
      </c>
      <c r="E66" s="187">
        <f t="shared" si="4"/>
        <v>1048166.6666666667</v>
      </c>
      <c r="F66" s="184">
        <f>$E66/((1+'MM_ES-1. Executive Summary'!$F$12)^$A20)</f>
        <v>570133.21785195114</v>
      </c>
      <c r="G66" s="185">
        <f>$E66/((1+'MM_ES-1. Executive Summary'!$F$13)^$A20)</f>
        <v>803332.47161817842</v>
      </c>
      <c r="H66" s="452"/>
    </row>
    <row r="67" spans="1:8">
      <c r="A67" s="112">
        <f t="shared" si="6"/>
        <v>10</v>
      </c>
      <c r="B67" s="112">
        <f t="shared" si="5"/>
        <v>2032</v>
      </c>
      <c r="C67" s="186">
        <f>'MM_ES-2. B&amp;C Summary Backup'!C67+'Q_ES-2. B&amp;C Summary Backup'!C67</f>
        <v>0</v>
      </c>
      <c r="D67" s="186">
        <f>'MM_ES-2. B&amp;C Summary Backup'!D67+'Q_ES-2. B&amp;C Summary Backup'!D67</f>
        <v>1048166.6666666667</v>
      </c>
      <c r="E67" s="187">
        <f t="shared" si="4"/>
        <v>1048166.6666666667</v>
      </c>
      <c r="F67" s="184">
        <f>$E67/((1+'MM_ES-1. Executive Summary'!$F$12)^$A21)</f>
        <v>532834.78303920676</v>
      </c>
      <c r="G67" s="185">
        <f>$E67/((1+'MM_ES-1. Executive Summary'!$F$13)^$A21)</f>
        <v>779934.43846425088</v>
      </c>
      <c r="H67" s="452"/>
    </row>
    <row r="68" spans="1:8">
      <c r="A68" s="112">
        <f t="shared" si="6"/>
        <v>11</v>
      </c>
      <c r="B68" s="112">
        <f t="shared" si="5"/>
        <v>2033</v>
      </c>
      <c r="C68" s="186">
        <f>'MM_ES-2. B&amp;C Summary Backup'!C68+'Q_ES-2. B&amp;C Summary Backup'!C68</f>
        <v>0</v>
      </c>
      <c r="D68" s="186">
        <f>'MM_ES-2. B&amp;C Summary Backup'!D68+'Q_ES-2. B&amp;C Summary Backup'!D68</f>
        <v>1048166.6666666667</v>
      </c>
      <c r="E68" s="187">
        <f t="shared" si="4"/>
        <v>1048166.6666666667</v>
      </c>
      <c r="F68" s="184">
        <f>$E68/((1+'MM_ES-1. Executive Summary'!$F$12)^$A22)</f>
        <v>497976.43274692213</v>
      </c>
      <c r="G68" s="185">
        <f>$E68/((1+'MM_ES-1. Executive Summary'!$F$13)^$A22)</f>
        <v>757217.9014216027</v>
      </c>
      <c r="H68" s="452"/>
    </row>
    <row r="69" spans="1:8">
      <c r="A69" s="112">
        <f t="shared" si="6"/>
        <v>12</v>
      </c>
      <c r="B69" s="112">
        <f t="shared" si="5"/>
        <v>2034</v>
      </c>
      <c r="C69" s="186">
        <f>'MM_ES-2. B&amp;C Summary Backup'!C69+'Q_ES-2. B&amp;C Summary Backup'!C69</f>
        <v>0</v>
      </c>
      <c r="D69" s="186">
        <f>'MM_ES-2. B&amp;C Summary Backup'!D69+'Q_ES-2. B&amp;C Summary Backup'!D69</f>
        <v>1048166.6666666667</v>
      </c>
      <c r="E69" s="187">
        <f t="shared" si="4"/>
        <v>1048166.6666666667</v>
      </c>
      <c r="F69" s="184">
        <f>$E69/((1+'MM_ES-1. Executive Summary'!$F$12)^$A23)</f>
        <v>465398.53527749743</v>
      </c>
      <c r="G69" s="185">
        <f>$E69/((1+'MM_ES-1. Executive Summary'!$F$13)^$A23)</f>
        <v>735163.01108893484</v>
      </c>
      <c r="H69" s="452"/>
    </row>
    <row r="70" spans="1:8">
      <c r="A70" s="112">
        <f t="shared" si="6"/>
        <v>13</v>
      </c>
      <c r="B70" s="112">
        <f t="shared" si="5"/>
        <v>2035</v>
      </c>
      <c r="C70" s="186">
        <f>'MM_ES-2. B&amp;C Summary Backup'!C70+'Q_ES-2. B&amp;C Summary Backup'!C70</f>
        <v>0</v>
      </c>
      <c r="D70" s="186">
        <f>'MM_ES-2. B&amp;C Summary Backup'!D70+'Q_ES-2. B&amp;C Summary Backup'!D70</f>
        <v>1048166.6666666667</v>
      </c>
      <c r="E70" s="187">
        <f t="shared" si="4"/>
        <v>1048166.6666666667</v>
      </c>
      <c r="F70" s="184">
        <f>$E70/((1+'MM_ES-1. Executive Summary'!$F$12)^$A24)</f>
        <v>434951.9021285022</v>
      </c>
      <c r="G70" s="185">
        <f>$E70/((1+'MM_ES-1. Executive Summary'!$F$13)^$A24)</f>
        <v>713750.49620284932</v>
      </c>
      <c r="H70" s="452"/>
    </row>
    <row r="71" spans="1:8">
      <c r="A71" s="112">
        <f t="shared" si="6"/>
        <v>14</v>
      </c>
      <c r="B71" s="112">
        <f t="shared" si="5"/>
        <v>2036</v>
      </c>
      <c r="C71" s="186">
        <f>'MM_ES-2. B&amp;C Summary Backup'!C71+'Q_ES-2. B&amp;C Summary Backup'!C71</f>
        <v>0</v>
      </c>
      <c r="D71" s="186">
        <f>'MM_ES-2. B&amp;C Summary Backup'!D71+'Q_ES-2. B&amp;C Summary Backup'!D71</f>
        <v>1048166.6666666667</v>
      </c>
      <c r="E71" s="187">
        <f t="shared" si="4"/>
        <v>1048166.6666666667</v>
      </c>
      <c r="F71" s="184">
        <f>$E71/((1+'MM_ES-1. Executive Summary'!$F$12)^$A25)</f>
        <v>406497.10479299276</v>
      </c>
      <c r="G71" s="185">
        <f>$E71/((1+'MM_ES-1. Executive Summary'!$F$13)^$A25)</f>
        <v>692961.64679888275</v>
      </c>
      <c r="H71" s="452"/>
    </row>
    <row r="72" spans="1:8">
      <c r="A72" s="112">
        <f t="shared" si="6"/>
        <v>15</v>
      </c>
      <c r="B72" s="112">
        <f t="shared" si="5"/>
        <v>2037</v>
      </c>
      <c r="C72" s="186">
        <f>'MM_ES-2. B&amp;C Summary Backup'!C72+'Q_ES-2. B&amp;C Summary Backup'!C72</f>
        <v>0</v>
      </c>
      <c r="D72" s="186">
        <f>'MM_ES-2. B&amp;C Summary Backup'!D72+'Q_ES-2. B&amp;C Summary Backup'!D72</f>
        <v>1048166.6666666667</v>
      </c>
      <c r="E72" s="187">
        <f t="shared" si="4"/>
        <v>1048166.6666666667</v>
      </c>
      <c r="F72" s="184">
        <f>$E72/((1+'MM_ES-1. Executive Summary'!$F$12)^$A26)</f>
        <v>379903.83625513338</v>
      </c>
      <c r="G72" s="185">
        <f>$E72/((1+'MM_ES-1. Executive Summary'!$F$13)^$A26)</f>
        <v>672778.29786299297</v>
      </c>
      <c r="H72" s="452"/>
    </row>
    <row r="73" spans="1:8">
      <c r="A73" s="112">
        <f t="shared" si="6"/>
        <v>16</v>
      </c>
      <c r="B73" s="112">
        <f t="shared" si="5"/>
        <v>2038</v>
      </c>
      <c r="C73" s="186">
        <f>'MM_ES-2. B&amp;C Summary Backup'!C73+'Q_ES-2. B&amp;C Summary Backup'!C73</f>
        <v>0</v>
      </c>
      <c r="D73" s="186">
        <f>'MM_ES-2. B&amp;C Summary Backup'!D73+'Q_ES-2. B&amp;C Summary Backup'!D73</f>
        <v>1048166.6666666667</v>
      </c>
      <c r="E73" s="187">
        <f t="shared" si="4"/>
        <v>1048166.6666666667</v>
      </c>
      <c r="F73" s="184">
        <f>$E73/((1+'MM_ES-1. Executive Summary'!$F$12)^$A27)</f>
        <v>355050.31425713404</v>
      </c>
      <c r="G73" s="185">
        <f>$E73/((1+'MM_ES-1. Executive Summary'!$F$13)^$A27)</f>
        <v>653182.81345921662</v>
      </c>
      <c r="H73" s="452"/>
    </row>
    <row r="74" spans="1:8">
      <c r="A74" s="112">
        <f t="shared" si="6"/>
        <v>17</v>
      </c>
      <c r="B74" s="112">
        <f t="shared" si="5"/>
        <v>2039</v>
      </c>
      <c r="C74" s="186">
        <f>'MM_ES-2. B&amp;C Summary Backup'!C74+'Q_ES-2. B&amp;C Summary Backup'!C74</f>
        <v>0</v>
      </c>
      <c r="D74" s="186">
        <f>'MM_ES-2. B&amp;C Summary Backup'!D74+'Q_ES-2. B&amp;C Summary Backup'!D74</f>
        <v>1048166.6666666667</v>
      </c>
      <c r="E74" s="187">
        <f t="shared" si="4"/>
        <v>1048166.6666666667</v>
      </c>
      <c r="F74" s="184">
        <f>$E74/((1+'MM_ES-1. Executive Summary'!$F$12)^$A28)</f>
        <v>331822.72360479814</v>
      </c>
      <c r="G74" s="185">
        <f>$E74/((1+'MM_ES-1. Executive Summary'!$F$13)^$A28)</f>
        <v>634158.07131962781</v>
      </c>
      <c r="H74" s="452"/>
    </row>
    <row r="75" spans="1:8">
      <c r="A75" s="112">
        <f t="shared" si="6"/>
        <v>18</v>
      </c>
      <c r="B75" s="112">
        <f t="shared" si="5"/>
        <v>2040</v>
      </c>
      <c r="C75" s="186">
        <f>'MM_ES-2. B&amp;C Summary Backup'!C75+'Q_ES-2. B&amp;C Summary Backup'!C75</f>
        <v>0</v>
      </c>
      <c r="D75" s="186">
        <f>'MM_ES-2. B&amp;C Summary Backup'!D75+'Q_ES-2. B&amp;C Summary Backup'!D75</f>
        <v>1048166.6666666667</v>
      </c>
      <c r="E75" s="187">
        <f t="shared" si="4"/>
        <v>1048166.6666666667</v>
      </c>
      <c r="F75" s="184">
        <f>$E75/((1+'MM_ES-1. Executive Summary'!$F$12)^$A29)</f>
        <v>310114.69495775527</v>
      </c>
      <c r="G75" s="185">
        <f>$E75/((1+'MM_ES-1. Executive Summary'!$F$13)^$A29)</f>
        <v>615687.44788313378</v>
      </c>
      <c r="H75" s="452"/>
    </row>
    <row r="76" spans="1:8">
      <c r="A76" s="112">
        <f t="shared" si="6"/>
        <v>19</v>
      </c>
      <c r="B76" s="112">
        <f t="shared" si="5"/>
        <v>2041</v>
      </c>
      <c r="C76" s="186">
        <f>'MM_ES-2. B&amp;C Summary Backup'!C76+'Q_ES-2. B&amp;C Summary Backup'!C76</f>
        <v>0</v>
      </c>
      <c r="D76" s="186">
        <f>'MM_ES-2. B&amp;C Summary Backup'!D76+'Q_ES-2. B&amp;C Summary Backup'!D76</f>
        <v>1048166.6666666667</v>
      </c>
      <c r="E76" s="187">
        <f t="shared" si="4"/>
        <v>1048166.6666666667</v>
      </c>
      <c r="F76" s="184">
        <f>$E76/((1+'MM_ES-1. Executive Summary'!$F$12)^$A30)</f>
        <v>289826.81771752826</v>
      </c>
      <c r="G76" s="185">
        <f>$E76/((1+'MM_ES-1. Executive Summary'!$F$13)^$A30)</f>
        <v>597754.80377003283</v>
      </c>
      <c r="H76" s="452"/>
    </row>
    <row r="77" spans="1:8">
      <c r="A77" s="112">
        <f t="shared" si="6"/>
        <v>20</v>
      </c>
      <c r="B77" s="112">
        <f t="shared" si="5"/>
        <v>2042</v>
      </c>
      <c r="C77" s="186">
        <f>'MM_ES-2. B&amp;C Summary Backup'!C77+'Q_ES-2. B&amp;C Summary Backup'!C77</f>
        <v>0</v>
      </c>
      <c r="D77" s="186">
        <f>'MM_ES-2. B&amp;C Summary Backup'!D77+'Q_ES-2. B&amp;C Summary Backup'!D77</f>
        <v>1048166.6666666667</v>
      </c>
      <c r="E77" s="187">
        <f t="shared" si="4"/>
        <v>1048166.6666666667</v>
      </c>
      <c r="F77" s="184">
        <f>$E77/((1+'MM_ES-1. Executive Summary'!$F$12)^$A31)</f>
        <v>270866.1847827367</v>
      </c>
      <c r="G77" s="185">
        <f>$E77/((1+'MM_ES-1. Executive Summary'!$F$13)^$A31)</f>
        <v>580344.46967964352</v>
      </c>
      <c r="H77" s="452"/>
    </row>
    <row r="78" spans="1:8">
      <c r="A78" s="112">
        <f t="shared" si="6"/>
        <v>21</v>
      </c>
      <c r="B78" s="112">
        <f t="shared" si="5"/>
        <v>2043</v>
      </c>
      <c r="C78" s="186">
        <f>'MM_ES-2. B&amp;C Summary Backup'!C78+'Q_ES-2. B&amp;C Summary Backup'!C78</f>
        <v>0</v>
      </c>
      <c r="D78" s="186">
        <f>'MM_ES-2. B&amp;C Summary Backup'!D78+'Q_ES-2. B&amp;C Summary Backup'!D78</f>
        <v>1048166.6666666667</v>
      </c>
      <c r="E78" s="187">
        <f t="shared" si="4"/>
        <v>1048166.6666666667</v>
      </c>
      <c r="F78" s="184">
        <f>$E78/((1+'MM_ES-1. Executive Summary'!$F$12)^$A32)</f>
        <v>253145.96708666981</v>
      </c>
      <c r="G78" s="185">
        <f>$E78/((1+'MM_ES-1. Executive Summary'!$F$13)^$A32)</f>
        <v>563441.23269868304</v>
      </c>
      <c r="H78" s="452"/>
    </row>
    <row r="79" spans="1:8">
      <c r="A79" s="112">
        <f t="shared" si="6"/>
        <v>22</v>
      </c>
      <c r="B79" s="112">
        <f t="shared" si="5"/>
        <v>2044</v>
      </c>
      <c r="C79" s="186">
        <f>'MM_ES-2. B&amp;C Summary Backup'!C79+'Q_ES-2. B&amp;C Summary Backup'!C79</f>
        <v>0</v>
      </c>
      <c r="D79" s="186">
        <f>'MM_ES-2. B&amp;C Summary Backup'!D79+'Q_ES-2. B&amp;C Summary Backup'!D79</f>
        <v>1048166.6666666667</v>
      </c>
      <c r="E79" s="187">
        <f t="shared" si="4"/>
        <v>1048166.6666666667</v>
      </c>
      <c r="F79" s="184">
        <f>$E79/((1+'MM_ES-1. Executive Summary'!$F$12)^$A33)</f>
        <v>236585.01596885032</v>
      </c>
      <c r="G79" s="185">
        <f>$E79/((1+'MM_ES-1. Executive Summary'!$F$13)^$A33)</f>
        <v>547030.32300843007</v>
      </c>
      <c r="H79" s="452"/>
    </row>
    <row r="80" spans="1:8">
      <c r="A80" s="112">
        <f t="shared" si="6"/>
        <v>23</v>
      </c>
      <c r="B80" s="112">
        <f t="shared" si="5"/>
        <v>2045</v>
      </c>
      <c r="C80" s="186">
        <f>'MM_ES-2. B&amp;C Summary Backup'!C80+'Q_ES-2. B&amp;C Summary Backup'!C80</f>
        <v>0</v>
      </c>
      <c r="D80" s="186">
        <f>'MM_ES-2. B&amp;C Summary Backup'!D80+'Q_ES-2. B&amp;C Summary Backup'!D80</f>
        <v>1048166.6666666667</v>
      </c>
      <c r="E80" s="187">
        <f t="shared" si="4"/>
        <v>1048166.6666666667</v>
      </c>
      <c r="F80" s="184">
        <f>$E80/((1+'MM_ES-1. Executive Summary'!$F$12)^$A34)</f>
        <v>221107.49155967319</v>
      </c>
      <c r="G80" s="185">
        <f>$E80/((1+'MM_ES-1. Executive Summary'!$F$13)^$A34)</f>
        <v>531097.40097905835</v>
      </c>
      <c r="H80" s="452"/>
    </row>
    <row r="81" spans="1:8">
      <c r="A81" s="112">
        <f t="shared" si="6"/>
        <v>24</v>
      </c>
      <c r="B81" s="112">
        <f t="shared" si="5"/>
        <v>2046</v>
      </c>
      <c r="C81" s="186">
        <f>'MM_ES-2. B&amp;C Summary Backup'!C81+'Q_ES-2. B&amp;C Summary Backup'!C81</f>
        <v>0</v>
      </c>
      <c r="D81" s="186">
        <f>'MM_ES-2. B&amp;C Summary Backup'!D81+'Q_ES-2. B&amp;C Summary Backup'!D81</f>
        <v>1048166.6666666667</v>
      </c>
      <c r="E81" s="187">
        <f t="shared" si="4"/>
        <v>1048166.6666666667</v>
      </c>
      <c r="F81" s="184">
        <f>$E81/((1+'MM_ES-1. Executive Summary'!$F$12)^$A35)</f>
        <v>206642.51547633007</v>
      </c>
      <c r="G81" s="185">
        <f>$E81/((1+'MM_ES-1. Executive Summary'!$F$13)^$A35)</f>
        <v>515628.54463986255</v>
      </c>
      <c r="H81" s="452"/>
    </row>
    <row r="82" spans="1:8">
      <c r="A82" s="112">
        <f t="shared" si="6"/>
        <v>25</v>
      </c>
      <c r="B82" s="112">
        <f t="shared" si="5"/>
        <v>2047</v>
      </c>
      <c r="C82" s="186">
        <f>'MM_ES-2. B&amp;C Summary Backup'!C82+'Q_ES-2. B&amp;C Summary Backup'!C82</f>
        <v>0</v>
      </c>
      <c r="D82" s="186">
        <f>'MM_ES-2. B&amp;C Summary Backup'!D82+'Q_ES-2. B&amp;C Summary Backup'!D82</f>
        <v>1048166.6666666667</v>
      </c>
      <c r="E82" s="187">
        <f t="shared" si="4"/>
        <v>1048166.6666666667</v>
      </c>
      <c r="F82" s="184">
        <f>$E82/((1+'MM_ES-1. Executive Summary'!$F$12)^$A36)</f>
        <v>193123.84623956081</v>
      </c>
      <c r="G82" s="185">
        <f>$E82/((1+'MM_ES-1. Executive Summary'!$F$13)^$A36)</f>
        <v>500610.23751442967</v>
      </c>
      <c r="H82" s="452"/>
    </row>
    <row r="83" spans="1:8">
      <c r="A83" s="112">
        <f t="shared" si="6"/>
        <v>26</v>
      </c>
      <c r="B83" s="112">
        <f t="shared" si="5"/>
        <v>2048</v>
      </c>
      <c r="C83" s="186">
        <f>'MM_ES-2. B&amp;C Summary Backup'!C83+'Q_ES-2. B&amp;C Summary Backup'!C83</f>
        <v>0</v>
      </c>
      <c r="D83" s="186">
        <f>'MM_ES-2. B&amp;C Summary Backup'!D83+'Q_ES-2. B&amp;C Summary Backup'!D83</f>
        <v>1048166.6666666667</v>
      </c>
      <c r="E83" s="187">
        <f t="shared" si="4"/>
        <v>1048166.6666666667</v>
      </c>
      <c r="F83" s="184">
        <f>$E83/((1+'MM_ES-1. Executive Summary'!$F$12)^$A37)</f>
        <v>180489.57592482318</v>
      </c>
      <c r="G83" s="185">
        <f>$E83/((1+'MM_ES-1. Executive Summary'!$F$13)^$A37)</f>
        <v>486029.35681012581</v>
      </c>
      <c r="H83" s="452"/>
    </row>
    <row r="84" spans="1:8">
      <c r="A84" s="112">
        <f t="shared" si="6"/>
        <v>27</v>
      </c>
      <c r="B84" s="112">
        <f t="shared" si="5"/>
        <v>2049</v>
      </c>
      <c r="C84" s="186">
        <f>'MM_ES-2. B&amp;C Summary Backup'!C84+'Q_ES-2. B&amp;C Summary Backup'!C84</f>
        <v>0</v>
      </c>
      <c r="D84" s="186">
        <f>'MM_ES-2. B&amp;C Summary Backup'!D84+'Q_ES-2. B&amp;C Summary Backup'!D84</f>
        <v>1048166.6666666667</v>
      </c>
      <c r="E84" s="187">
        <f t="shared" si="4"/>
        <v>1048166.6666666667</v>
      </c>
      <c r="F84" s="184">
        <f>$E84/((1+'MM_ES-1. Executive Summary'!$F$12)^$A38)</f>
        <v>168681.84665871324</v>
      </c>
      <c r="G84" s="185">
        <f>$E84/((1+'MM_ES-1. Executive Summary'!$F$13)^$A38)</f>
        <v>471873.16195157851</v>
      </c>
      <c r="H84" s="452"/>
    </row>
    <row r="85" spans="1:8">
      <c r="A85" s="112">
        <f t="shared" si="6"/>
        <v>28</v>
      </c>
      <c r="B85" s="112">
        <f t="shared" si="5"/>
        <v>2050</v>
      </c>
      <c r="C85" s="186">
        <f>'MM_ES-2. B&amp;C Summary Backup'!C85+'Q_ES-2. B&amp;C Summary Backup'!C85</f>
        <v>0</v>
      </c>
      <c r="D85" s="186">
        <f>'MM_ES-2. B&amp;C Summary Backup'!D85+'Q_ES-2. B&amp;C Summary Backup'!D85</f>
        <v>1048166.6666666667</v>
      </c>
      <c r="E85" s="187">
        <f t="shared" si="4"/>
        <v>1048166.6666666667</v>
      </c>
      <c r="F85" s="184">
        <f>$E85/((1+'MM_ES-1. Executive Summary'!$F$12)^$A39)</f>
        <v>157646.58566234884</v>
      </c>
      <c r="G85" s="185">
        <f>$E85/((1+'MM_ES-1. Executive Summary'!$F$13)^$A39)</f>
        <v>458129.28344813443</v>
      </c>
      <c r="H85" s="452"/>
    </row>
    <row r="86" spans="1:8">
      <c r="A86" s="112">
        <f t="shared" si="6"/>
        <v>29</v>
      </c>
      <c r="B86" s="112">
        <f t="shared" si="5"/>
        <v>2051</v>
      </c>
      <c r="C86" s="186">
        <f>'MM_ES-2. B&amp;C Summary Backup'!C86+'Q_ES-2. B&amp;C Summary Backup'!C86</f>
        <v>0</v>
      </c>
      <c r="D86" s="186">
        <f>'MM_ES-2. B&amp;C Summary Backup'!D86+'Q_ES-2. B&amp;C Summary Backup'!D86</f>
        <v>1048166.6666666667</v>
      </c>
      <c r="E86" s="187">
        <f t="shared" si="4"/>
        <v>1048166.6666666667</v>
      </c>
      <c r="F86" s="184">
        <f>$E86/((1+'MM_ES-1. Executive Summary'!$F$12)^$A40)</f>
        <v>147333.25762836341</v>
      </c>
      <c r="G86" s="185">
        <f>$E86/((1+'MM_ES-1. Executive Summary'!$F$13)^$A40)</f>
        <v>444785.71208556747</v>
      </c>
      <c r="H86" s="452"/>
    </row>
    <row r="87" spans="1:8">
      <c r="A87" s="112">
        <f t="shared" si="6"/>
        <v>30</v>
      </c>
      <c r="B87" s="112">
        <f t="shared" si="5"/>
        <v>2052</v>
      </c>
      <c r="C87" s="186">
        <f>'MM_ES-2. B&amp;C Summary Backup'!C87+'Q_ES-2. B&amp;C Summary Backup'!C87</f>
        <v>0</v>
      </c>
      <c r="D87" s="186">
        <f>'MM_ES-2. B&amp;C Summary Backup'!D87+'Q_ES-2. B&amp;C Summary Backup'!D87</f>
        <v>1048166.6666666667</v>
      </c>
      <c r="E87" s="187">
        <f t="shared" si="4"/>
        <v>1048166.6666666667</v>
      </c>
      <c r="F87" s="184">
        <f>$E87/((1+'MM_ES-1. Executive Summary'!$F$12)^$A41)</f>
        <v>137694.63329753588</v>
      </c>
      <c r="G87" s="185">
        <f>$E87/((1+'MM_ES-1. Executive Summary'!$F$13)^$A41)</f>
        <v>431830.78843258979</v>
      </c>
      <c r="H87" s="452"/>
    </row>
    <row r="88" spans="1:8">
      <c r="A88" s="112">
        <f t="shared" si="6"/>
        <v>31</v>
      </c>
      <c r="B88" s="112">
        <f t="shared" si="5"/>
        <v>2053</v>
      </c>
      <c r="C88" s="186">
        <f>'MM_ES-2. B&amp;C Summary Backup'!C88+'Q_ES-2. B&amp;C Summary Backup'!C88</f>
        <v>0</v>
      </c>
      <c r="D88" s="186">
        <f>'MM_ES-2. B&amp;C Summary Backup'!D88+'Q_ES-2. B&amp;C Summary Backup'!D88</f>
        <v>1048166.6666666667</v>
      </c>
      <c r="E88" s="187">
        <f t="shared" si="4"/>
        <v>1048166.6666666667</v>
      </c>
      <c r="F88" s="184">
        <f>$E88/((1+'MM_ES-1. Executive Summary'!$F$12)^$A42)</f>
        <v>128686.57317526717</v>
      </c>
      <c r="G88" s="185">
        <f>$E88/((1+'MM_ES-1. Executive Summary'!$F$13)^$A42)</f>
        <v>419253.19265299971</v>
      </c>
      <c r="H88" s="452"/>
    </row>
    <row r="89" spans="1:8">
      <c r="A89" s="112">
        <f t="shared" si="6"/>
        <v>32</v>
      </c>
      <c r="B89" s="112">
        <f t="shared" si="5"/>
        <v>2054</v>
      </c>
      <c r="C89" s="186">
        <f>'MM_ES-2. B&amp;C Summary Backup'!C89+'Q_ES-2. B&amp;C Summary Backup'!C89</f>
        <v>0</v>
      </c>
      <c r="D89" s="186">
        <f>'MM_ES-2. B&amp;C Summary Backup'!D89+'Q_ES-2. B&amp;C Summary Backup'!D89</f>
        <v>1048166.6666666667</v>
      </c>
      <c r="E89" s="187">
        <f t="shared" si="4"/>
        <v>1048166.6666666667</v>
      </c>
      <c r="F89" s="184">
        <f>$E89/((1+'MM_ES-1. Executive Summary'!$F$12)^$A43)</f>
        <v>120267.82539744597</v>
      </c>
      <c r="G89" s="185">
        <f>$E89/((1+'MM_ES-1. Executive Summary'!$F$13)^$A43)</f>
        <v>407041.9346145629</v>
      </c>
      <c r="H89" s="452"/>
    </row>
    <row r="90" spans="1:8">
      <c r="A90" s="112">
        <f t="shared" si="6"/>
        <v>33</v>
      </c>
      <c r="B90" s="112">
        <f t="shared" si="5"/>
        <v>2055</v>
      </c>
      <c r="C90" s="186">
        <f>'MM_ES-2. B&amp;C Summary Backup'!C90+'Q_ES-2. B&amp;C Summary Backup'!C90</f>
        <v>0</v>
      </c>
      <c r="D90" s="186">
        <f>'MM_ES-2. B&amp;C Summary Backup'!D90+'Q_ES-2. B&amp;C Summary Backup'!D90</f>
        <v>1048166.6666666667</v>
      </c>
      <c r="E90" s="187">
        <f t="shared" si="4"/>
        <v>1048166.6666666667</v>
      </c>
      <c r="F90" s="184">
        <f>$E90/((1+'MM_ES-1. Executive Summary'!$F$12)^$A44)</f>
        <v>112399.83682004295</v>
      </c>
      <c r="G90" s="185">
        <f>$E90/((1+'MM_ES-1. Executive Summary'!$F$13)^$A44)</f>
        <v>395186.34428598342</v>
      </c>
      <c r="H90" s="452"/>
    </row>
    <row r="91" spans="1:8">
      <c r="A91" s="112">
        <f t="shared" si="6"/>
        <v>34</v>
      </c>
      <c r="B91" s="112">
        <f t="shared" si="5"/>
        <v>2056</v>
      </c>
      <c r="C91" s="186">
        <f>'MM_ES-2. B&amp;C Summary Backup'!C91+'Q_ES-2. B&amp;C Summary Backup'!C91</f>
        <v>0</v>
      </c>
      <c r="D91" s="186">
        <f>'MM_ES-2. B&amp;C Summary Backup'!D91+'Q_ES-2. B&amp;C Summary Backup'!D91</f>
        <v>1048166.6666666667</v>
      </c>
      <c r="E91" s="187">
        <f t="shared" si="4"/>
        <v>1048166.6666666667</v>
      </c>
      <c r="F91" s="184">
        <f>$E91/((1+'MM_ES-1. Executive Summary'!$F$12)^$A45)</f>
        <v>105046.57646732987</v>
      </c>
      <c r="G91" s="185">
        <f>$E91/((1+'MM_ES-1. Executive Summary'!$F$13)^$A45)</f>
        <v>383676.06241357618</v>
      </c>
      <c r="H91" s="452"/>
    </row>
    <row r="92" spans="1:8">
      <c r="A92" s="112">
        <f t="shared" si="6"/>
        <v>35</v>
      </c>
      <c r="B92" s="112">
        <f t="shared" si="5"/>
        <v>2057</v>
      </c>
      <c r="C92" s="186">
        <f>'MM_ES-2. B&amp;C Summary Backup'!C92+'Q_ES-2. B&amp;C Summary Backup'!C92</f>
        <v>0</v>
      </c>
      <c r="D92" s="186">
        <f>'MM_ES-2. B&amp;C Summary Backup'!D92+'Q_ES-2. B&amp;C Summary Backup'!D92</f>
        <v>1048166.6666666667</v>
      </c>
      <c r="E92" s="187">
        <f t="shared" si="4"/>
        <v>1048166.6666666667</v>
      </c>
      <c r="F92" s="184">
        <f>$E92/((1+'MM_ES-1. Executive Summary'!$F$12)^$A46)</f>
        <v>98174.37053021483</v>
      </c>
      <c r="G92" s="185">
        <f>$E92/((1+'MM_ES-1. Executive Summary'!$F$13)^$A46)</f>
        <v>372501.03146949137</v>
      </c>
      <c r="H92" s="452"/>
    </row>
    <row r="93" spans="1:8" ht="13.5" thickBot="1">
      <c r="A93" s="322">
        <f t="shared" si="6"/>
        <v>36</v>
      </c>
      <c r="B93" s="322">
        <f t="shared" si="5"/>
        <v>2058</v>
      </c>
      <c r="C93" s="324">
        <f>'MM_ES-2. B&amp;C Summary Backup'!C93+'Q_ES-2. B&amp;C Summary Backup'!C93</f>
        <v>0</v>
      </c>
      <c r="D93" s="324">
        <f>'MM_ES-2. B&amp;C Summary Backup'!D93+'Q_ES-2. B&amp;C Summary Backup'!D93</f>
        <v>1048166.6666666667</v>
      </c>
      <c r="E93" s="329">
        <f t="shared" si="4"/>
        <v>1048166.6666666667</v>
      </c>
      <c r="F93" s="327">
        <f>$E93/((1+'MM_ES-1. Executive Summary'!$F$12)^$A47)</f>
        <v>91751.748159079274</v>
      </c>
      <c r="G93" s="328">
        <f>$E93/((1+'MM_ES-1. Executive Summary'!$F$13)^$A47)</f>
        <v>361651.48686358385</v>
      </c>
      <c r="H93" s="452"/>
    </row>
    <row r="94" spans="1:8" ht="13.5" hidden="1" thickTop="1">
      <c r="A94" s="112">
        <f t="shared" si="6"/>
        <v>37</v>
      </c>
      <c r="B94" s="112" t="str">
        <f t="shared" si="5"/>
        <v/>
      </c>
      <c r="C94" s="186">
        <v>0</v>
      </c>
      <c r="D94" s="186"/>
      <c r="E94" s="187">
        <f t="shared" si="4"/>
        <v>0</v>
      </c>
      <c r="F94" s="184">
        <v>0</v>
      </c>
      <c r="G94" s="185">
        <v>0</v>
      </c>
      <c r="H94" s="452"/>
    </row>
    <row r="95" spans="1:8" ht="13.5" hidden="1" thickTop="1">
      <c r="A95" s="112">
        <f t="shared" si="6"/>
        <v>38</v>
      </c>
      <c r="B95" s="112" t="str">
        <f t="shared" si="5"/>
        <v/>
      </c>
      <c r="C95" s="186">
        <v>0</v>
      </c>
      <c r="D95" s="186"/>
      <c r="E95" s="187">
        <f t="shared" si="4"/>
        <v>0</v>
      </c>
      <c r="F95" s="184">
        <v>0</v>
      </c>
      <c r="G95" s="185">
        <v>0</v>
      </c>
      <c r="H95" s="452"/>
    </row>
    <row r="96" spans="1:8" ht="13.5" hidden="1" thickTop="1">
      <c r="A96" s="112">
        <f t="shared" si="6"/>
        <v>39</v>
      </c>
      <c r="B96" s="112" t="str">
        <f t="shared" si="5"/>
        <v/>
      </c>
      <c r="C96" s="186">
        <v>0</v>
      </c>
      <c r="D96" s="186"/>
      <c r="E96" s="187">
        <f t="shared" si="4"/>
        <v>0</v>
      </c>
      <c r="F96" s="184">
        <v>0</v>
      </c>
      <c r="G96" s="185">
        <v>0</v>
      </c>
      <c r="H96" s="452"/>
    </row>
    <row r="97" spans="1:8" ht="13.5" hidden="1" thickTop="1">
      <c r="A97" s="112">
        <f t="shared" si="6"/>
        <v>40</v>
      </c>
      <c r="B97" s="112" t="str">
        <f t="shared" si="5"/>
        <v/>
      </c>
      <c r="C97" s="186">
        <v>0</v>
      </c>
      <c r="D97" s="186"/>
      <c r="E97" s="187">
        <f t="shared" si="4"/>
        <v>0</v>
      </c>
      <c r="F97" s="184">
        <v>0</v>
      </c>
      <c r="G97" s="185">
        <v>0</v>
      </c>
      <c r="H97" s="452"/>
    </row>
    <row r="98" spans="1:8" ht="33" customHeight="1" thickTop="1">
      <c r="A98" s="461" t="s">
        <v>53</v>
      </c>
      <c r="B98" s="461"/>
      <c r="C98" s="195">
        <f t="shared" ref="C98:G98" si="7">SUM(C58:C93)</f>
        <v>135000000</v>
      </c>
      <c r="D98" s="195">
        <f t="shared" si="7"/>
        <v>31445000.000000015</v>
      </c>
      <c r="E98" s="199">
        <f t="shared" si="7"/>
        <v>166444999.9999997</v>
      </c>
      <c r="F98" s="197">
        <f t="shared" si="7"/>
        <v>114160328.08344837</v>
      </c>
      <c r="G98" s="198">
        <f t="shared" si="7"/>
        <v>138330872.72817928</v>
      </c>
      <c r="H98" s="453"/>
    </row>
  </sheetData>
  <mergeCells count="5">
    <mergeCell ref="A1:O1"/>
    <mergeCell ref="A7:O7"/>
    <mergeCell ref="A52:B52"/>
    <mergeCell ref="C56:J56"/>
    <mergeCell ref="A98:B98"/>
  </mergeCells>
  <pageMargins left="0.7" right="0.7" top="0.75" bottom="0.75" header="0.3" footer="0.3"/>
  <pageSetup scale="48" fitToHeight="0" orientation="landscape" r:id="rId1"/>
  <rowBreaks count="1" manualBreakCount="1">
    <brk id="5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K61"/>
  <sheetViews>
    <sheetView showGridLines="0" zoomScale="80" zoomScaleNormal="80" workbookViewId="0">
      <selection activeCell="A7" sqref="A7"/>
    </sheetView>
  </sheetViews>
  <sheetFormatPr defaultColWidth="9.140625" defaultRowHeight="12.75"/>
  <cols>
    <col min="1" max="1" width="13.85546875" style="61" bestFit="1" customWidth="1"/>
    <col min="2" max="2" width="17.7109375" style="67" customWidth="1"/>
    <col min="3" max="3" width="13" style="61" bestFit="1" customWidth="1"/>
    <col min="4" max="4" width="20.7109375" style="61" customWidth="1"/>
    <col min="5" max="5" width="34.28515625" style="61" customWidth="1"/>
    <col min="6" max="6" width="20.7109375" style="61" customWidth="1"/>
    <col min="7" max="7" width="10.5703125" style="61" customWidth="1"/>
    <col min="8" max="8" width="38.5703125" style="61" customWidth="1"/>
    <col min="9" max="9" width="39.85546875" style="61" customWidth="1"/>
    <col min="10" max="10" width="23.42578125" style="61" bestFit="1" customWidth="1"/>
    <col min="11" max="13" width="16" style="61" customWidth="1"/>
    <col min="14" max="14" width="14.7109375" style="61" customWidth="1"/>
    <col min="15" max="16384" width="9.140625" style="61"/>
  </cols>
  <sheetData>
    <row r="1" spans="1:11">
      <c r="A1" s="455" t="s">
        <v>0</v>
      </c>
      <c r="B1" s="455"/>
      <c r="C1" s="455"/>
      <c r="D1" s="455"/>
      <c r="E1" s="455"/>
      <c r="F1" s="455"/>
      <c r="G1" s="455"/>
      <c r="H1" s="455"/>
      <c r="I1" s="455"/>
      <c r="J1" s="455"/>
      <c r="K1" s="60"/>
    </row>
    <row r="2" spans="1:11">
      <c r="A2" s="62" t="s">
        <v>1</v>
      </c>
      <c r="B2" s="63" t="str">
        <f>Project_Name</f>
        <v>Completing the I-95 Missing Move and Quonset Connector Ramps</v>
      </c>
    </row>
    <row r="3" spans="1:11">
      <c r="A3" s="62" t="s">
        <v>2</v>
      </c>
      <c r="B3" s="63" t="s">
        <v>29</v>
      </c>
    </row>
    <row r="4" spans="1:11">
      <c r="A4" s="62" t="s">
        <v>4</v>
      </c>
      <c r="B4" s="64">
        <f>Date</f>
        <v>45159</v>
      </c>
    </row>
    <row r="5" spans="1:11" ht="29.25" customHeight="1" thickBot="1">
      <c r="A5" s="62"/>
      <c r="B5" s="65"/>
    </row>
    <row r="6" spans="1:11" ht="162" customHeight="1" thickBot="1">
      <c r="A6" s="460" t="s">
        <v>54</v>
      </c>
      <c r="B6" s="457"/>
      <c r="C6" s="457"/>
      <c r="D6" s="457"/>
      <c r="E6" s="457"/>
      <c r="F6" s="457"/>
      <c r="G6" s="457"/>
      <c r="H6" s="457"/>
      <c r="I6" s="457"/>
      <c r="J6" s="458"/>
      <c r="K6" s="66"/>
    </row>
    <row r="7" spans="1:11">
      <c r="A7" s="62"/>
      <c r="B7" s="65"/>
    </row>
    <row r="8" spans="1:11">
      <c r="A8" s="62"/>
      <c r="B8" s="65"/>
      <c r="E8" s="63" t="s">
        <v>6</v>
      </c>
    </row>
    <row r="9" spans="1:11">
      <c r="A9" s="62"/>
      <c r="B9" s="65"/>
    </row>
    <row r="10" spans="1:11">
      <c r="A10" s="62"/>
      <c r="B10" s="65"/>
      <c r="E10" s="61" t="s">
        <v>7</v>
      </c>
      <c r="F10" s="61" t="s">
        <v>8</v>
      </c>
    </row>
    <row r="11" spans="1:11" ht="12.75" customHeight="1">
      <c r="E11" s="81" t="s">
        <v>9</v>
      </c>
      <c r="F11" s="77">
        <v>30</v>
      </c>
    </row>
    <row r="12" spans="1:11">
      <c r="E12" s="81" t="s">
        <v>10</v>
      </c>
      <c r="F12" s="340">
        <v>7.0000000000000007E-2</v>
      </c>
    </row>
    <row r="13" spans="1:11">
      <c r="E13" s="81" t="s">
        <v>11</v>
      </c>
      <c r="F13" s="340">
        <v>0.03</v>
      </c>
    </row>
    <row r="14" spans="1:11">
      <c r="E14" s="81" t="s">
        <v>12</v>
      </c>
      <c r="F14" s="343">
        <f>Table76[[#Totals],[Project Benefits at 7% Discount Rate*]]</f>
        <v>170246453.10240352</v>
      </c>
    </row>
    <row r="15" spans="1:11">
      <c r="E15" s="81" t="s">
        <v>13</v>
      </c>
      <c r="F15" s="343">
        <f>Table77[[#Totals],[Project Costs at 7% Discount Rate]]</f>
        <v>78517069.210677996</v>
      </c>
    </row>
    <row r="16" spans="1:11">
      <c r="E16" s="90" t="s">
        <v>14</v>
      </c>
      <c r="F16" s="348">
        <f>F14/F15</f>
        <v>2.1682731514799167</v>
      </c>
    </row>
    <row r="17" spans="2:10">
      <c r="E17" s="81" t="s">
        <v>15</v>
      </c>
      <c r="F17" s="341">
        <f>Table76[[#Totals],[Project Benefits at 7% Discount Rate*]]-Table77[[#Totals],[Project Costs at 7% Discount Rate]]</f>
        <v>91729383.891725525</v>
      </c>
    </row>
    <row r="18" spans="2:10">
      <c r="E18" s="82" t="s">
        <v>16</v>
      </c>
      <c r="F18" s="342">
        <f>Table76[[#Totals],[Project Benefits at 3% Discount Rate]]/Table77[[#Totals],[Project Costs at 3% Discount Rate]]</f>
        <v>4.1362787496696445</v>
      </c>
    </row>
    <row r="19" spans="2:10">
      <c r="E19" s="82" t="s">
        <v>17</v>
      </c>
      <c r="F19" s="293">
        <f>Table76[[#Totals],[Project Benefits at 3% Discount Rate]]-Table77[[#Totals],[Project Costs at 3% Discount Rate]]</f>
        <v>301228065.34761548</v>
      </c>
    </row>
    <row r="21" spans="2:10" ht="12.75" customHeight="1">
      <c r="B21" s="459" t="s">
        <v>18</v>
      </c>
      <c r="C21" s="459"/>
      <c r="D21" s="459"/>
      <c r="H21" s="71" t="s">
        <v>19</v>
      </c>
      <c r="I21" s="71"/>
      <c r="J21" s="71"/>
    </row>
    <row r="22" spans="2:10">
      <c r="H22" s="70"/>
    </row>
    <row r="23" spans="2:10" ht="48" customHeight="1">
      <c r="B23" s="133" t="s">
        <v>20</v>
      </c>
      <c r="C23" s="133" t="s">
        <v>21</v>
      </c>
      <c r="D23" s="133" t="s">
        <v>22</v>
      </c>
      <c r="E23" s="133" t="s">
        <v>23</v>
      </c>
      <c r="F23" s="133" t="s">
        <v>24</v>
      </c>
      <c r="G23" s="133"/>
      <c r="H23" s="133" t="s">
        <v>25</v>
      </c>
      <c r="I23" s="133" t="s">
        <v>26</v>
      </c>
      <c r="J23" s="133" t="s">
        <v>27</v>
      </c>
    </row>
    <row r="24" spans="2:10" ht="12.75" customHeight="1">
      <c r="B24" s="344">
        <v>1</v>
      </c>
      <c r="C24" s="344">
        <v>2022</v>
      </c>
      <c r="D24" s="345">
        <f>'MM_ES-2. B&amp;C Summary Backup'!M12</f>
        <v>0</v>
      </c>
      <c r="E24" s="346">
        <f>'MM_ES-2. B&amp;C Summary Backup'!N12</f>
        <v>0</v>
      </c>
      <c r="F24" s="346">
        <f t="shared" ref="F24:F59" si="0">$D24/((1+$F$13)^$B24)</f>
        <v>0</v>
      </c>
      <c r="G24" s="346"/>
      <c r="H24" s="347">
        <f>'MM_ES-2. B&amp;C Summary Backup'!E58</f>
        <v>700000</v>
      </c>
      <c r="I24" s="346">
        <f t="shared" ref="I24:I59" si="1">$H24/((1+$F$12)^$B24)</f>
        <v>654205.60747663549</v>
      </c>
      <c r="J24" s="346">
        <f t="shared" ref="J24:J59" si="2">$H24/((1+$F$13)^$B24)</f>
        <v>679611.6504854369</v>
      </c>
    </row>
    <row r="25" spans="2:10">
      <c r="B25" s="344">
        <v>2</v>
      </c>
      <c r="C25" s="344">
        <f>C24+1</f>
        <v>2023</v>
      </c>
      <c r="D25" s="345">
        <f>'MM_ES-2. B&amp;C Summary Backup'!M13</f>
        <v>-113871.33997340442</v>
      </c>
      <c r="E25" s="346">
        <f>'MM_ES-2. B&amp;C Summary Backup'!N13</f>
        <v>-99459.638373136884</v>
      </c>
      <c r="F25" s="346">
        <f t="shared" si="0"/>
        <v>-107334.65922650998</v>
      </c>
      <c r="G25" s="346"/>
      <c r="H25" s="347">
        <f>'MM_ES-2. B&amp;C Summary Backup'!E59</f>
        <v>5390000</v>
      </c>
      <c r="I25" s="346">
        <f t="shared" si="1"/>
        <v>4707834.7453926103</v>
      </c>
      <c r="J25" s="346">
        <f t="shared" si="2"/>
        <v>5080591.9502309365</v>
      </c>
    </row>
    <row r="26" spans="2:10">
      <c r="B26" s="344">
        <v>3</v>
      </c>
      <c r="C26" s="344">
        <f t="shared" ref="C26:C59" si="3">C25+1</f>
        <v>2024</v>
      </c>
      <c r="D26" s="345">
        <f>'MM_ES-2. B&amp;C Summary Backup'!M14</f>
        <v>-455485.35989361769</v>
      </c>
      <c r="E26" s="346">
        <f>'MM_ES-2. B&amp;C Summary Backup'!N14</f>
        <v>-371811.73223602574</v>
      </c>
      <c r="F26" s="346">
        <f t="shared" si="0"/>
        <v>-416833.62806411635</v>
      </c>
      <c r="G26" s="346"/>
      <c r="H26" s="347">
        <f>'MM_ES-2. B&amp;C Summary Backup'!E60</f>
        <v>48500000</v>
      </c>
      <c r="I26" s="346">
        <f t="shared" si="1"/>
        <v>39590447.029206321</v>
      </c>
      <c r="J26" s="346">
        <f t="shared" si="2"/>
        <v>44384370.478628241</v>
      </c>
    </row>
    <row r="27" spans="2:10">
      <c r="B27" s="344">
        <v>4</v>
      </c>
      <c r="C27" s="344">
        <f t="shared" si="3"/>
        <v>2025</v>
      </c>
      <c r="D27" s="345">
        <f>'MM_ES-2. B&amp;C Summary Backup'!M15</f>
        <v>-455485.35989361769</v>
      </c>
      <c r="E27" s="346">
        <f>'MM_ES-2. B&amp;C Summary Backup'!N15</f>
        <v>-347487.60022058478</v>
      </c>
      <c r="F27" s="346">
        <f t="shared" si="0"/>
        <v>-404692.84278069553</v>
      </c>
      <c r="G27" s="346"/>
      <c r="H27" s="347">
        <f>'MM_ES-2. B&amp;C Summary Backup'!E61</f>
        <v>18200000</v>
      </c>
      <c r="I27" s="346">
        <f t="shared" si="1"/>
        <v>13884692.859264959</v>
      </c>
      <c r="J27" s="346">
        <f t="shared" si="2"/>
        <v>16170464.272065539</v>
      </c>
    </row>
    <row r="28" spans="2:10">
      <c r="B28" s="344">
        <v>5</v>
      </c>
      <c r="C28" s="344">
        <f t="shared" si="3"/>
        <v>2026</v>
      </c>
      <c r="D28" s="345">
        <f>'MM_ES-2. B&amp;C Summary Backup'!M16</f>
        <v>-455485.35989361769</v>
      </c>
      <c r="E28" s="346">
        <f>'MM_ES-2. B&amp;C Summary Backup'!N16</f>
        <v>-324754.76656129415</v>
      </c>
      <c r="F28" s="346">
        <f t="shared" si="0"/>
        <v>-392905.67260261707</v>
      </c>
      <c r="G28" s="346"/>
      <c r="H28" s="347">
        <f>'MM_ES-2. B&amp;C Summary Backup'!E62</f>
        <v>7400000</v>
      </c>
      <c r="I28" s="346">
        <f t="shared" si="1"/>
        <v>5276097.7281791456</v>
      </c>
      <c r="J28" s="346">
        <f t="shared" si="2"/>
        <v>6383305.0044428147</v>
      </c>
    </row>
    <row r="29" spans="2:10">
      <c r="B29" s="344">
        <v>6</v>
      </c>
      <c r="C29" s="344">
        <f t="shared" si="3"/>
        <v>2027</v>
      </c>
      <c r="D29" s="345">
        <f>'MM_ES-2. B&amp;C Summary Backup'!M17</f>
        <v>4342493.9635228217</v>
      </c>
      <c r="E29" s="346">
        <f>'MM_ES-2. B&amp;C Summary Backup'!N17</f>
        <v>2894639.2308342769</v>
      </c>
      <c r="F29" s="346">
        <f t="shared" si="0"/>
        <v>3636770.3291941667</v>
      </c>
      <c r="G29" s="346"/>
      <c r="H29" s="347">
        <f>'MM_ES-2. B&amp;C Summary Backup'!E63</f>
        <v>10810000</v>
      </c>
      <c r="I29" s="346">
        <f t="shared" si="1"/>
        <v>7203159.4394565001</v>
      </c>
      <c r="J29" s="346">
        <f t="shared" si="2"/>
        <v>9053204.8147503044</v>
      </c>
    </row>
    <row r="30" spans="2:10">
      <c r="B30" s="344">
        <v>7</v>
      </c>
      <c r="C30" s="344">
        <f t="shared" si="3"/>
        <v>2028</v>
      </c>
      <c r="D30" s="347">
        <f>'MM_ES-2. B&amp;C Summary Backup'!M18</f>
        <v>6035354.1957288682</v>
      </c>
      <c r="E30" s="346">
        <f>'MM_ES-2. B&amp;C Summary Backup'!N18</f>
        <v>3760198.6914209216</v>
      </c>
      <c r="F30" s="346">
        <f t="shared" si="0"/>
        <v>4907295.2644976368</v>
      </c>
      <c r="G30" s="346"/>
      <c r="H30" s="345">
        <f>'MM_ES-2. B&amp;C Summary Backup'!E64</f>
        <v>870833.33333333337</v>
      </c>
      <c r="I30" s="346">
        <f t="shared" si="1"/>
        <v>542311.2335578315</v>
      </c>
      <c r="J30" s="346">
        <f t="shared" si="2"/>
        <v>708067.19112817058</v>
      </c>
    </row>
    <row r="31" spans="2:10">
      <c r="B31" s="344">
        <v>8</v>
      </c>
      <c r="C31" s="344">
        <f t="shared" si="3"/>
        <v>2029</v>
      </c>
      <c r="D31" s="347">
        <f>'MM_ES-2. B&amp;C Summary Backup'!M19</f>
        <v>7500938.3533789935</v>
      </c>
      <c r="E31" s="346">
        <f>'MM_ES-2. B&amp;C Summary Backup'!N19</f>
        <v>4368025.3098290721</v>
      </c>
      <c r="F31" s="346">
        <f t="shared" si="0"/>
        <v>5921310.0021769451</v>
      </c>
      <c r="G31" s="346"/>
      <c r="H31" s="345">
        <f>'MM_ES-2. B&amp;C Summary Backup'!E65</f>
        <v>870833.33333333337</v>
      </c>
      <c r="I31" s="346">
        <f t="shared" si="1"/>
        <v>506832.92855872097</v>
      </c>
      <c r="J31" s="346">
        <f t="shared" si="2"/>
        <v>687443.87488171912</v>
      </c>
    </row>
    <row r="32" spans="2:10">
      <c r="B32" s="344">
        <v>9</v>
      </c>
      <c r="C32" s="344">
        <f t="shared" si="3"/>
        <v>2030</v>
      </c>
      <c r="D32" s="347">
        <f>'MM_ES-2. B&amp;C Summary Backup'!M20</f>
        <v>8967172.4666657932</v>
      </c>
      <c r="E32" s="346">
        <f>'MM_ES-2. B&amp;C Summary Backup'!N20</f>
        <v>4880821.434618365</v>
      </c>
      <c r="F32" s="346">
        <f t="shared" si="0"/>
        <v>6872591.020263738</v>
      </c>
      <c r="G32" s="346"/>
      <c r="H32" s="345">
        <f>'MM_ES-2. B&amp;C Summary Backup'!E66</f>
        <v>870833.33333333337</v>
      </c>
      <c r="I32" s="346">
        <f t="shared" si="1"/>
        <v>473675.63416702894</v>
      </c>
      <c r="J32" s="346">
        <f t="shared" si="2"/>
        <v>667421.23774924187</v>
      </c>
    </row>
    <row r="33" spans="2:10">
      <c r="B33" s="344">
        <v>10</v>
      </c>
      <c r="C33" s="344">
        <f t="shared" si="3"/>
        <v>2031</v>
      </c>
      <c r="D33" s="347">
        <f>'MM_ES-2. B&amp;C Summary Backup'!M21</f>
        <v>10432679.222134255</v>
      </c>
      <c r="E33" s="346">
        <f>'MM_ES-2. B&amp;C Summary Backup'!N21</f>
        <v>5307618.7451181626</v>
      </c>
      <c r="F33" s="346">
        <f t="shared" si="0"/>
        <v>7762893.1252595996</v>
      </c>
      <c r="G33" s="346"/>
      <c r="H33" s="345">
        <f>'MM_ES-2. B&amp;C Summary Backup'!E67</f>
        <v>870833.33333333337</v>
      </c>
      <c r="I33" s="346">
        <f t="shared" si="1"/>
        <v>442687.50856731675</v>
      </c>
      <c r="J33" s="346">
        <f t="shared" si="2"/>
        <v>647981.78422256489</v>
      </c>
    </row>
    <row r="34" spans="2:10">
      <c r="B34" s="344">
        <v>11</v>
      </c>
      <c r="C34" s="344">
        <f t="shared" si="3"/>
        <v>2032</v>
      </c>
      <c r="D34" s="347">
        <f>'MM_ES-2. B&amp;C Summary Backup'!M22</f>
        <v>11899107.607010443</v>
      </c>
      <c r="E34" s="346">
        <f>'MM_ES-2. B&amp;C Summary Backup'!N22</f>
        <v>5658526.3647605926</v>
      </c>
      <c r="F34" s="346">
        <f t="shared" si="0"/>
        <v>8596168.5078425277</v>
      </c>
      <c r="G34" s="346"/>
      <c r="H34" s="345">
        <f>'MM_ES-2. B&amp;C Summary Backup'!E68</f>
        <v>870833.33333333337</v>
      </c>
      <c r="I34" s="346">
        <f t="shared" si="1"/>
        <v>413726.64352085674</v>
      </c>
      <c r="J34" s="346">
        <f t="shared" si="2"/>
        <v>629108.5283714222</v>
      </c>
    </row>
    <row r="35" spans="2:10">
      <c r="B35" s="344">
        <v>12</v>
      </c>
      <c r="C35" s="344">
        <f t="shared" si="3"/>
        <v>2033</v>
      </c>
      <c r="D35" s="347">
        <f>'MM_ES-2. B&amp;C Summary Backup'!M23</f>
        <v>13365535.991886621</v>
      </c>
      <c r="E35" s="346">
        <f>'MM_ES-2. B&amp;C Summary Backup'!N23</f>
        <v>5941027.4771616105</v>
      </c>
      <c r="F35" s="346">
        <f t="shared" si="0"/>
        <v>9374318.0327043105</v>
      </c>
      <c r="G35" s="346"/>
      <c r="H35" s="345">
        <f>'MM_ES-2. B&amp;C Summary Backup'!E69</f>
        <v>870833.33333333337</v>
      </c>
      <c r="I35" s="346">
        <f t="shared" si="1"/>
        <v>386660.41450547369</v>
      </c>
      <c r="J35" s="346">
        <f t="shared" si="2"/>
        <v>610784.97900138085</v>
      </c>
    </row>
    <row r="36" spans="2:10">
      <c r="B36" s="344">
        <v>13</v>
      </c>
      <c r="C36" s="344">
        <f t="shared" si="3"/>
        <v>2034</v>
      </c>
      <c r="D36" s="347">
        <f>'MM_ES-2. B&amp;C Summary Backup'!M24</f>
        <v>14831964.376762813</v>
      </c>
      <c r="E36" s="346">
        <f>'MM_ES-2. B&amp;C Summary Backup'!N24</f>
        <v>6162567.8773512645</v>
      </c>
      <c r="F36" s="346">
        <f t="shared" si="0"/>
        <v>10099846.017087717</v>
      </c>
      <c r="G36" s="346"/>
      <c r="H36" s="345">
        <f>'MM_ES-2. B&amp;C Summary Backup'!E70</f>
        <v>870833.33333333337</v>
      </c>
      <c r="I36" s="346">
        <f t="shared" si="1"/>
        <v>361364.8733696015</v>
      </c>
      <c r="J36" s="346">
        <f t="shared" si="2"/>
        <v>592995.12524405913</v>
      </c>
    </row>
    <row r="37" spans="2:10">
      <c r="B37" s="344">
        <v>14</v>
      </c>
      <c r="C37" s="344">
        <f t="shared" si="3"/>
        <v>2035</v>
      </c>
      <c r="D37" s="347">
        <f>'MM_ES-2. B&amp;C Summary Backup'!M25</f>
        <v>16298392.761638992</v>
      </c>
      <c r="E37" s="346">
        <f>'MM_ES-2. B&amp;C Summary Backup'!N25</f>
        <v>6329911.8856627094</v>
      </c>
      <c r="F37" s="346">
        <f t="shared" si="0"/>
        <v>10775157.660944836</v>
      </c>
      <c r="G37" s="346"/>
      <c r="H37" s="345">
        <f>'MM_ES-2. B&amp;C Summary Backup'!E71</f>
        <v>870833.33333333337</v>
      </c>
      <c r="I37" s="346">
        <f t="shared" si="1"/>
        <v>337724.18071925378</v>
      </c>
      <c r="J37" s="346">
        <f t="shared" si="2"/>
        <v>575723.42256704764</v>
      </c>
    </row>
    <row r="38" spans="2:10">
      <c r="B38" s="344">
        <v>15</v>
      </c>
      <c r="C38" s="344">
        <f t="shared" si="3"/>
        <v>2036</v>
      </c>
      <c r="D38" s="347">
        <f>'MM_ES-2. B&amp;C Summary Backup'!M26</f>
        <v>17764821.146515172</v>
      </c>
      <c r="E38" s="346">
        <f>'MM_ES-2. B&amp;C Summary Backup'!N26</f>
        <v>6449199.6497375863</v>
      </c>
      <c r="F38" s="346">
        <f t="shared" si="0"/>
        <v>11402562.696256619</v>
      </c>
      <c r="G38" s="346"/>
      <c r="H38" s="345">
        <f>'MM_ES-2. B&amp;C Summary Backup'!E72</f>
        <v>870833.33333333337</v>
      </c>
      <c r="I38" s="346">
        <f t="shared" si="1"/>
        <v>315630.07543855492</v>
      </c>
      <c r="J38" s="346">
        <f t="shared" si="2"/>
        <v>558954.77919130831</v>
      </c>
    </row>
    <row r="39" spans="2:10">
      <c r="B39" s="344">
        <v>16</v>
      </c>
      <c r="C39" s="344">
        <f t="shared" si="3"/>
        <v>2037</v>
      </c>
      <c r="D39" s="347">
        <f>'MM_ES-2. B&amp;C Summary Backup'!M27</f>
        <v>19231249.531391352</v>
      </c>
      <c r="E39" s="346">
        <f>'MM_ES-2. B&amp;C Summary Backup'!N27</f>
        <v>6525999.8654742427</v>
      </c>
      <c r="F39" s="346">
        <f t="shared" si="0"/>
        <v>11984278.907855408</v>
      </c>
      <c r="G39" s="346"/>
      <c r="H39" s="345">
        <f>'MM_ES-2. B&amp;C Summary Backup'!E73</f>
        <v>870833.33333333337</v>
      </c>
      <c r="I39" s="346">
        <f t="shared" si="1"/>
        <v>294981.37891453732</v>
      </c>
      <c r="J39" s="346">
        <f t="shared" si="2"/>
        <v>542674.54290418292</v>
      </c>
    </row>
    <row r="40" spans="2:10">
      <c r="B40" s="344">
        <v>17</v>
      </c>
      <c r="C40" s="344">
        <f t="shared" si="3"/>
        <v>2038</v>
      </c>
      <c r="D40" s="347">
        <f>'MM_ES-2. B&amp;C Summary Backup'!M28</f>
        <v>20697677.916267533</v>
      </c>
      <c r="E40" s="346">
        <f>'MM_ES-2. B&amp;C Summary Backup'!N28</f>
        <v>6565358.2710743155</v>
      </c>
      <c r="F40" s="346">
        <f t="shared" si="0"/>
        <v>12522435.530139994</v>
      </c>
      <c r="G40" s="346"/>
      <c r="H40" s="345">
        <f>'MM_ES-2. B&amp;C Summary Backup'!E74</f>
        <v>870833.33333333337</v>
      </c>
      <c r="I40" s="346">
        <f t="shared" si="1"/>
        <v>275683.5316958293</v>
      </c>
      <c r="J40" s="346">
        <f t="shared" si="2"/>
        <v>526868.48825648834</v>
      </c>
    </row>
    <row r="41" spans="2:10">
      <c r="B41" s="344">
        <v>18</v>
      </c>
      <c r="C41" s="344">
        <f t="shared" si="3"/>
        <v>2039</v>
      </c>
      <c r="D41" s="347">
        <f>'MM_ES-2. B&amp;C Summary Backup'!M29</f>
        <v>22164106.301143732</v>
      </c>
      <c r="E41" s="346">
        <f>'MM_ES-2. B&amp;C Summary Backup'!N29</f>
        <v>6571842.2416108306</v>
      </c>
      <c r="F41" s="346">
        <f t="shared" si="0"/>
        <v>13019076.523925902</v>
      </c>
      <c r="G41" s="346"/>
      <c r="H41" s="345">
        <f>'MM_ES-2. B&amp;C Summary Backup'!E75</f>
        <v>870833.33333333337</v>
      </c>
      <c r="I41" s="346">
        <f t="shared" si="1"/>
        <v>257648.16046339183</v>
      </c>
      <c r="J41" s="346">
        <f t="shared" si="2"/>
        <v>511522.80413251289</v>
      </c>
    </row>
    <row r="42" spans="2:10">
      <c r="B42" s="344">
        <v>19</v>
      </c>
      <c r="C42" s="344">
        <f t="shared" si="3"/>
        <v>2040</v>
      </c>
      <c r="D42" s="347">
        <f>'MM_ES-2. B&amp;C Summary Backup'!M30</f>
        <v>23630534.686019916</v>
      </c>
      <c r="E42" s="346">
        <f>'MM_ES-2. B&amp;C Summary Backup'!N30</f>
        <v>6549581.7867908031</v>
      </c>
      <c r="F42" s="346">
        <f t="shared" si="0"/>
        <v>13476163.737531677</v>
      </c>
      <c r="G42" s="346"/>
      <c r="H42" s="345">
        <f>'MM_ES-2. B&amp;C Summary Backup'!E76</f>
        <v>870833.33333333337</v>
      </c>
      <c r="I42" s="346">
        <f t="shared" si="1"/>
        <v>240792.67333027272</v>
      </c>
      <c r="J42" s="346">
        <f t="shared" si="2"/>
        <v>496624.08168205136</v>
      </c>
    </row>
    <row r="43" spans="2:10">
      <c r="B43" s="344">
        <v>20</v>
      </c>
      <c r="C43" s="344">
        <f t="shared" si="3"/>
        <v>2041</v>
      </c>
      <c r="D43" s="347">
        <f>'MM_ES-2. B&amp;C Summary Backup'!M31</f>
        <v>25096963.070896093</v>
      </c>
      <c r="E43" s="346">
        <f>'MM_ES-2. B&amp;C Summary Backup'!N31</f>
        <v>6502307.2316721724</v>
      </c>
      <c r="F43" s="346">
        <f t="shared" si="0"/>
        <v>13895579.956064992</v>
      </c>
      <c r="G43" s="346"/>
      <c r="H43" s="345">
        <f>'MM_ES-2. B&amp;C Summary Backup'!E77</f>
        <v>870833.33333333337</v>
      </c>
      <c r="I43" s="346">
        <f t="shared" si="1"/>
        <v>225039.88161707734</v>
      </c>
      <c r="J43" s="346">
        <f t="shared" si="2"/>
        <v>482159.30260393338</v>
      </c>
    </row>
    <row r="44" spans="2:10">
      <c r="B44" s="344">
        <v>21</v>
      </c>
      <c r="C44" s="344">
        <f t="shared" si="3"/>
        <v>2042</v>
      </c>
      <c r="D44" s="347">
        <f>'MM_ES-2. B&amp;C Summary Backup'!M32</f>
        <v>26563391.455772277</v>
      </c>
      <c r="E44" s="346">
        <f>'MM_ES-2. B&amp;C Summary Backup'!N32</f>
        <v>6433383.8388841758</v>
      </c>
      <c r="F44" s="346">
        <f t="shared" si="0"/>
        <v>14279131.842739383</v>
      </c>
      <c r="G44" s="346"/>
      <c r="H44" s="345">
        <f>'MM_ES-2. B&amp;C Summary Backup'!E78</f>
        <v>870833.33333333337</v>
      </c>
      <c r="I44" s="346">
        <f t="shared" si="1"/>
        <v>210317.6463711003</v>
      </c>
      <c r="J44" s="346">
        <f t="shared" si="2"/>
        <v>468115.82777080918</v>
      </c>
    </row>
    <row r="45" spans="2:10">
      <c r="B45" s="344">
        <v>22</v>
      </c>
      <c r="C45" s="344">
        <f t="shared" si="3"/>
        <v>2043</v>
      </c>
      <c r="D45" s="347">
        <f>'MM_ES-2. B&amp;C Summary Backup'!M33</f>
        <v>28029819.840648454</v>
      </c>
      <c r="E45" s="346">
        <f>'MM_ES-2. B&amp;C Summary Backup'!N33</f>
        <v>6345843.6112677054</v>
      </c>
      <c r="F45" s="346">
        <f t="shared" si="0"/>
        <v>14628552.775924336</v>
      </c>
      <c r="G45" s="346"/>
      <c r="H45" s="345">
        <f>'MM_ES-2. B&amp;C Summary Backup'!E79</f>
        <v>870833.33333333337</v>
      </c>
      <c r="I45" s="346">
        <f t="shared" si="1"/>
        <v>196558.54801037413</v>
      </c>
      <c r="J45" s="346">
        <f t="shared" si="2"/>
        <v>454481.38618525158</v>
      </c>
    </row>
    <row r="46" spans="2:10">
      <c r="B46" s="344">
        <v>23</v>
      </c>
      <c r="C46" s="344">
        <f t="shared" si="3"/>
        <v>2044</v>
      </c>
      <c r="D46" s="347">
        <f>'MM_ES-2. B&amp;C Summary Backup'!M34</f>
        <v>29496248.225524645</v>
      </c>
      <c r="E46" s="346">
        <f>'MM_ES-2. B&amp;C Summary Backup'!N34</f>
        <v>6242414.4956816668</v>
      </c>
      <c r="F46" s="346">
        <f t="shared" si="0"/>
        <v>14945505.585507361</v>
      </c>
      <c r="G46" s="346"/>
      <c r="H46" s="345">
        <f>'MM_ES-2. B&amp;C Summary Backup'!E80</f>
        <v>870833.33333333337</v>
      </c>
      <c r="I46" s="346">
        <f t="shared" si="1"/>
        <v>183699.57757978889</v>
      </c>
      <c r="J46" s="346">
        <f t="shared" si="2"/>
        <v>441244.06425752578</v>
      </c>
    </row>
    <row r="47" spans="2:10">
      <c r="B47" s="344">
        <v>24</v>
      </c>
      <c r="C47" s="344">
        <f t="shared" si="3"/>
        <v>2045</v>
      </c>
      <c r="D47" s="347">
        <f>'MM_ES-2. B&amp;C Summary Backup'!M35</f>
        <v>30962676.610400822</v>
      </c>
      <c r="E47" s="346">
        <f>'MM_ES-2. B&amp;C Summary Backup'!N35</f>
        <v>6125547.191905777</v>
      </c>
      <c r="F47" s="346">
        <f t="shared" si="0"/>
        <v>15231585.192026414</v>
      </c>
      <c r="G47" s="346"/>
      <c r="H47" s="345">
        <f>'MM_ES-2. B&amp;C Summary Backup'!E81</f>
        <v>870833.33333333337</v>
      </c>
      <c r="I47" s="346">
        <f t="shared" si="1"/>
        <v>171681.84820541018</v>
      </c>
      <c r="J47" s="346">
        <f t="shared" si="2"/>
        <v>428392.29539565614</v>
      </c>
    </row>
    <row r="48" spans="2:10">
      <c r="B48" s="344">
        <v>25</v>
      </c>
      <c r="C48" s="344">
        <f t="shared" si="3"/>
        <v>2046</v>
      </c>
      <c r="D48" s="347">
        <f>'MM_ES-2. B&amp;C Summary Backup'!M36</f>
        <v>32429104.995277002</v>
      </c>
      <c r="E48" s="346">
        <f>'MM_ES-2. B&amp;C Summary Backup'!N36</f>
        <v>5997439.7550102053</v>
      </c>
      <c r="F48" s="346">
        <f t="shared" si="0"/>
        <v>15488321.151915403</v>
      </c>
      <c r="G48" s="346"/>
      <c r="H48" s="345">
        <f>'MM_ES-2. B&amp;C Summary Backup'!E82</f>
        <v>870833.33333333337</v>
      </c>
      <c r="I48" s="346">
        <f t="shared" si="1"/>
        <v>160450.32542561696</v>
      </c>
      <c r="J48" s="346">
        <f t="shared" si="2"/>
        <v>415914.84989869531</v>
      </c>
    </row>
    <row r="49" spans="2:10">
      <c r="B49" s="344">
        <v>26</v>
      </c>
      <c r="C49" s="344">
        <f t="shared" si="3"/>
        <v>2047</v>
      </c>
      <c r="D49" s="347">
        <f>'MM_ES-2. B&amp;C Summary Backup'!M37</f>
        <v>33895533.380153209</v>
      </c>
      <c r="E49" s="346">
        <f>'MM_ES-2. B&amp;C Summary Backup'!N37</f>
        <v>5860060.1651653331</v>
      </c>
      <c r="F49" s="346">
        <f t="shared" si="0"/>
        <v>15717180.112092871</v>
      </c>
      <c r="G49" s="346"/>
      <c r="H49" s="345">
        <f>'MM_ES-2. B&amp;C Summary Backup'!E83</f>
        <v>870833.33333333337</v>
      </c>
      <c r="I49" s="346">
        <f t="shared" si="1"/>
        <v>149953.57516412804</v>
      </c>
      <c r="J49" s="346">
        <f t="shared" si="2"/>
        <v>403800.82514436432</v>
      </c>
    </row>
    <row r="50" spans="2:10">
      <c r="B50" s="344">
        <v>27</v>
      </c>
      <c r="C50" s="344">
        <f t="shared" si="3"/>
        <v>2048</v>
      </c>
      <c r="D50" s="347">
        <f>'MM_ES-2. B&amp;C Summary Backup'!M38</f>
        <v>35361961.765029386</v>
      </c>
      <c r="E50" s="346">
        <f>'MM_ES-2. B&amp;C Summary Backup'!N38</f>
        <v>5715167.0255455133</v>
      </c>
      <c r="F50" s="346">
        <f t="shared" si="0"/>
        <v>15919568.177015649</v>
      </c>
      <c r="G50" s="346"/>
      <c r="H50" s="345">
        <f>'MM_ES-2. B&amp;C Summary Backup'!E84</f>
        <v>870833.33333333337</v>
      </c>
      <c r="I50" s="346">
        <f t="shared" si="1"/>
        <v>140143.52819077382</v>
      </c>
      <c r="J50" s="346">
        <f t="shared" si="2"/>
        <v>392039.63606248965</v>
      </c>
    </row>
    <row r="51" spans="2:10">
      <c r="B51" s="344">
        <v>28</v>
      </c>
      <c r="C51" s="344">
        <f t="shared" si="3"/>
        <v>2049</v>
      </c>
      <c r="D51" s="347">
        <f>'MM_ES-2. B&amp;C Summary Backup'!M39</f>
        <v>36828390.14990557</v>
      </c>
      <c r="E51" s="346">
        <f>'MM_ES-2. B&amp;C Summary Backup'!N39</f>
        <v>5564328.5366594493</v>
      </c>
      <c r="F51" s="346">
        <f t="shared" si="0"/>
        <v>16096833.191214411</v>
      </c>
      <c r="G51" s="346"/>
      <c r="H51" s="345">
        <f>'MM_ES-2. B&amp;C Summary Backup'!E85</f>
        <v>870833.33333333337</v>
      </c>
      <c r="I51" s="346">
        <f t="shared" si="1"/>
        <v>130975.25999137743</v>
      </c>
      <c r="J51" s="346">
        <f t="shared" si="2"/>
        <v>380621.00588591228</v>
      </c>
    </row>
    <row r="52" spans="2:10">
      <c r="B52" s="344">
        <v>29</v>
      </c>
      <c r="C52" s="344">
        <f t="shared" si="3"/>
        <v>2050</v>
      </c>
      <c r="D52" s="347">
        <f>'MM_ES-2. B&amp;C Summary Backup'!M40</f>
        <v>38294818.534781739</v>
      </c>
      <c r="E52" s="346">
        <f>'MM_ES-2. B&amp;C Summary Backup'!N40</f>
        <v>5408939.8840428665</v>
      </c>
      <c r="F52" s="346">
        <f t="shared" si="0"/>
        <v>16250266.940226251</v>
      </c>
      <c r="G52" s="346"/>
      <c r="H52" s="345">
        <f>'MM_ES-2. B&amp;C Summary Backup'!E86</f>
        <v>870833.33333333337</v>
      </c>
      <c r="I52" s="346">
        <f t="shared" si="1"/>
        <v>122406.7850386705</v>
      </c>
      <c r="J52" s="346">
        <f t="shared" si="2"/>
        <v>369534.95717078866</v>
      </c>
    </row>
    <row r="53" spans="2:10">
      <c r="B53" s="344">
        <v>30</v>
      </c>
      <c r="C53" s="344">
        <f t="shared" si="3"/>
        <v>2051</v>
      </c>
      <c r="D53" s="347">
        <f>'MM_ES-2. B&amp;C Summary Backup'!M41</f>
        <v>39761246.919657931</v>
      </c>
      <c r="E53" s="346">
        <f>'MM_ES-2. B&amp;C Summary Backup'!N41</f>
        <v>5250239.1657090159</v>
      </c>
      <c r="F53" s="346">
        <f t="shared" si="0"/>
        <v>16381107.272741707</v>
      </c>
      <c r="G53" s="346"/>
      <c r="H53" s="345">
        <f>'MM_ES-2. B&amp;C Summary Backup'!E87</f>
        <v>870833.33333333337</v>
      </c>
      <c r="I53" s="346">
        <f t="shared" si="1"/>
        <v>114398.86452212196</v>
      </c>
      <c r="J53" s="346">
        <f t="shared" si="2"/>
        <v>358771.80307843559</v>
      </c>
    </row>
    <row r="54" spans="2:10">
      <c r="B54" s="344">
        <v>31</v>
      </c>
      <c r="C54" s="344">
        <f t="shared" si="3"/>
        <v>2052</v>
      </c>
      <c r="D54" s="347">
        <f>'MM_ES-2. B&amp;C Summary Backup'!M42</f>
        <v>41227675.304534115</v>
      </c>
      <c r="E54" s="346">
        <f>'MM_ES-2. B&amp;C Summary Backup'!N42</f>
        <v>5089321.976004947</v>
      </c>
      <c r="F54" s="346">
        <f t="shared" si="0"/>
        <v>16490540.146688338</v>
      </c>
      <c r="G54" s="346"/>
      <c r="H54" s="345">
        <f>'MM_ES-2. B&amp;C Summary Backup'!E88</f>
        <v>870833.33333333337</v>
      </c>
      <c r="I54" s="346">
        <f t="shared" si="1"/>
        <v>106914.82665618873</v>
      </c>
      <c r="J54" s="346">
        <f t="shared" si="2"/>
        <v>348322.13891110249</v>
      </c>
    </row>
    <row r="55" spans="2:10">
      <c r="B55" s="344">
        <v>32</v>
      </c>
      <c r="C55" s="344">
        <f t="shared" si="3"/>
        <v>2053</v>
      </c>
      <c r="D55" s="347">
        <f>'MM_ES-2. B&amp;C Summary Backup'!M43</f>
        <v>42694103.689410307</v>
      </c>
      <c r="E55" s="346">
        <f>'MM_ES-2. B&amp;C Summary Backup'!N43</f>
        <v>4927154.7535087373</v>
      </c>
      <c r="F55" s="346">
        <f t="shared" si="0"/>
        <v>16579701.601881685</v>
      </c>
      <c r="G55" s="346"/>
      <c r="H55" s="345">
        <f>'MM_ES-2. B&amp;C Summary Backup'!E89</f>
        <v>870833.33333333337</v>
      </c>
      <c r="I55" s="346">
        <f t="shared" si="1"/>
        <v>99920.398744101622</v>
      </c>
      <c r="J55" s="346">
        <f t="shared" si="2"/>
        <v>338176.83389427431</v>
      </c>
    </row>
    <row r="56" spans="2:10">
      <c r="B56" s="344">
        <v>33</v>
      </c>
      <c r="C56" s="344">
        <f t="shared" si="3"/>
        <v>2054</v>
      </c>
      <c r="D56" s="347">
        <f>'MM_ES-2. B&amp;C Summary Backup'!M44</f>
        <v>44160532.074286491</v>
      </c>
      <c r="E56" s="346">
        <f>'MM_ES-2. B&amp;C Summary Backup'!N44</f>
        <v>4764586.9922698028</v>
      </c>
      <c r="F56" s="346">
        <f t="shared" si="0"/>
        <v>16649679.661785206</v>
      </c>
      <c r="G56" s="346"/>
      <c r="H56" s="345">
        <f>'MM_ES-2. B&amp;C Summary Backup'!E90</f>
        <v>870833.33333333337</v>
      </c>
      <c r="I56" s="346">
        <f t="shared" si="1"/>
        <v>93383.550228132357</v>
      </c>
      <c r="J56" s="346">
        <f t="shared" si="2"/>
        <v>328327.02319832455</v>
      </c>
    </row>
    <row r="57" spans="2:10">
      <c r="B57" s="344">
        <v>34</v>
      </c>
      <c r="C57" s="344">
        <f t="shared" si="3"/>
        <v>2055</v>
      </c>
      <c r="D57" s="347">
        <f>'MM_ES-2. B&amp;C Summary Backup'!M45</f>
        <v>45626960.459162667</v>
      </c>
      <c r="E57" s="346">
        <f>'MM_ES-2. B&amp;C Summary Backup'!N45</f>
        <v>4602362.4079912771</v>
      </c>
      <c r="F57" s="346">
        <f t="shared" si="0"/>
        <v>16701516.166835554</v>
      </c>
      <c r="G57" s="346"/>
      <c r="H57" s="345">
        <f>'MM_ES-2. B&amp;C Summary Backup'!E91</f>
        <v>870833.33333333337</v>
      </c>
      <c r="I57" s="346">
        <f t="shared" si="1"/>
        <v>87274.346007600339</v>
      </c>
      <c r="J57" s="346">
        <f t="shared" si="2"/>
        <v>318764.10019254818</v>
      </c>
    </row>
    <row r="58" spans="2:10">
      <c r="B58" s="344">
        <v>35</v>
      </c>
      <c r="C58" s="344">
        <f t="shared" si="3"/>
        <v>2056</v>
      </c>
      <c r="D58" s="347">
        <f>'MM_ES-2. B&amp;C Summary Backup'!M46</f>
        <v>47093388.844038852</v>
      </c>
      <c r="E58" s="346">
        <f>'MM_ES-2. B&amp;C Summary Backup'!N46</f>
        <v>4441129.1436329745</v>
      </c>
      <c r="F58" s="346">
        <f t="shared" si="0"/>
        <v>16736208.54170613</v>
      </c>
      <c r="G58" s="346"/>
      <c r="H58" s="345">
        <f>'MM_ES-2. B&amp;C Summary Backup'!E92</f>
        <v>870833.33333333337</v>
      </c>
      <c r="I58" s="346">
        <f t="shared" si="1"/>
        <v>81564.809352897515</v>
      </c>
      <c r="J58" s="346">
        <f t="shared" si="2"/>
        <v>309479.708924804</v>
      </c>
    </row>
    <row r="59" spans="2:10">
      <c r="B59" s="344">
        <v>36</v>
      </c>
      <c r="C59" s="344">
        <f t="shared" si="3"/>
        <v>2057</v>
      </c>
      <c r="D59" s="347">
        <f>'MM_ES-2. B&amp;C Summary Backup'!M47</f>
        <v>47108665.16647739</v>
      </c>
      <c r="E59" s="346">
        <f>'MM_ES-2. B&amp;C Summary Backup'!N47</f>
        <v>4154421.8333981312</v>
      </c>
      <c r="F59" s="346">
        <f t="shared" si="0"/>
        <v>16254016.983573161</v>
      </c>
      <c r="G59" s="346"/>
      <c r="H59" s="345">
        <f>'MM_ES-2. B&amp;C Summary Backup'!E93</f>
        <v>870833.33333333337</v>
      </c>
      <c r="I59" s="346">
        <f t="shared" si="1"/>
        <v>76228.793787754679</v>
      </c>
      <c r="J59" s="346">
        <f t="shared" si="2"/>
        <v>300465.73682019807</v>
      </c>
    </row>
    <row r="60" spans="2:10">
      <c r="B60" t="s">
        <v>28</v>
      </c>
      <c r="C60"/>
      <c r="D60" s="176">
        <f>SUBTOTAL(109,Table76[Present Value (PV) Project Benefits])</f>
        <v>820313181.58636999</v>
      </c>
      <c r="E60" s="176">
        <f>SUBTOTAL(109,Table76[Project Benefits at 7% Discount Rate*])</f>
        <v>170246453.10240352</v>
      </c>
      <c r="F60" s="176">
        <f>SUBTOTAL(109,Table76[Project Benefits at 3% Discount Rate])</f>
        <v>397274395.85294598</v>
      </c>
      <c r="G60" s="176"/>
      <c r="H60" s="345">
        <f>SUBTOTAL(109,Table77[Present Value (PV) Project Costs])</f>
        <v>117124999.99999985</v>
      </c>
      <c r="I60" s="347">
        <f>SUBTOTAL(109,Table77[Project Costs at 7% Discount Rate])</f>
        <v>78517069.210677996</v>
      </c>
      <c r="J60" s="347">
        <f>SUBTOTAL(109,Table77[Project Costs at 3% Discount Rate])</f>
        <v>96046330.505330533</v>
      </c>
    </row>
    <row r="61" spans="2:10">
      <c r="G61" s="67"/>
    </row>
  </sheetData>
  <mergeCells count="3">
    <mergeCell ref="A1:J1"/>
    <mergeCell ref="B21:D21"/>
    <mergeCell ref="A6:J6"/>
  </mergeCells>
  <phoneticPr fontId="25" type="noConversion"/>
  <pageMargins left="0.7" right="0.7" top="0.75" bottom="0.75" header="0.3" footer="0.3"/>
  <pageSetup paperSize="3" scale="50" orientation="landscape" r:id="rId1"/>
  <drawing r:id="rId2"/>
  <tableParts count="3">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5C655-03A2-4CA1-94A7-0B6FF2EC07A5}">
  <sheetPr>
    <tabColor theme="2" tint="-9.9978637043366805E-2"/>
    <pageSetUpPr fitToPage="1"/>
  </sheetPr>
  <dimension ref="A1:X98"/>
  <sheetViews>
    <sheetView showGridLines="0" zoomScale="85" zoomScaleNormal="85" workbookViewId="0">
      <selection activeCell="G38" sqref="G38"/>
    </sheetView>
  </sheetViews>
  <sheetFormatPr defaultColWidth="9.140625" defaultRowHeight="12.75"/>
  <cols>
    <col min="1" max="1" width="17" style="82" customWidth="1"/>
    <col min="2" max="2" width="17.5703125" style="82" customWidth="1"/>
    <col min="3" max="3" width="18.5703125" style="82" bestFit="1" customWidth="1"/>
    <col min="4" max="4" width="17.85546875" style="82" bestFit="1" customWidth="1"/>
    <col min="5" max="5" width="19.28515625" style="82" bestFit="1" customWidth="1"/>
    <col min="6" max="6" width="19.7109375" style="82" bestFit="1" customWidth="1"/>
    <col min="7" max="7" width="20.140625" style="82" bestFit="1" customWidth="1"/>
    <col min="8" max="8" width="20.140625" style="82" customWidth="1"/>
    <col min="9" max="9" width="18.85546875" style="82" bestFit="1" customWidth="1"/>
    <col min="10" max="10" width="18.5703125" style="82" bestFit="1" customWidth="1"/>
    <col min="11" max="11" width="17.140625" style="82" bestFit="1" customWidth="1"/>
    <col min="12" max="13" width="17.42578125" style="82" bestFit="1" customWidth="1"/>
    <col min="14" max="14" width="16" style="82" bestFit="1" customWidth="1"/>
    <col min="15" max="15" width="20.5703125" style="82" bestFit="1" customWidth="1"/>
    <col min="16" max="17" width="20.140625" style="82" bestFit="1" customWidth="1"/>
    <col min="18" max="18" width="14" style="82" bestFit="1" customWidth="1"/>
    <col min="19" max="19" width="18.28515625" style="82" customWidth="1"/>
    <col min="20" max="22" width="16.28515625" style="82" customWidth="1"/>
    <col min="23" max="24" width="19" style="82" customWidth="1"/>
    <col min="25" max="25" width="9.140625" style="82"/>
    <col min="26" max="26" width="27" style="82" customWidth="1"/>
    <col min="27" max="16384" width="9.140625" style="82"/>
  </cols>
  <sheetData>
    <row r="1" spans="1:24" ht="15" customHeight="1">
      <c r="A1" s="455" t="s">
        <v>0</v>
      </c>
      <c r="B1" s="455"/>
      <c r="C1" s="455"/>
      <c r="D1" s="455"/>
      <c r="E1" s="455"/>
      <c r="F1" s="455"/>
      <c r="G1" s="455"/>
      <c r="H1" s="455"/>
      <c r="I1" s="455"/>
      <c r="J1" s="455"/>
      <c r="K1" s="455"/>
      <c r="L1" s="455"/>
      <c r="M1" s="455"/>
      <c r="N1" s="455"/>
      <c r="O1" s="455"/>
    </row>
    <row r="2" spans="1:24" ht="15" customHeight="1">
      <c r="A2" s="62" t="s">
        <v>1</v>
      </c>
      <c r="B2" s="63" t="str">
        <f>Project_Name</f>
        <v>Completing the I-95 Missing Move and Quonset Connector Ramps</v>
      </c>
      <c r="C2" s="61"/>
      <c r="D2" s="61"/>
      <c r="E2" s="61"/>
      <c r="F2" s="61"/>
      <c r="G2" s="61"/>
      <c r="H2" s="61"/>
      <c r="I2" s="61"/>
      <c r="J2" s="61"/>
      <c r="K2" s="61"/>
    </row>
    <row r="3" spans="1:24" ht="15" customHeight="1">
      <c r="A3" s="62" t="s">
        <v>2</v>
      </c>
      <c r="B3" s="63" t="s">
        <v>29</v>
      </c>
      <c r="C3" s="61"/>
      <c r="D3" s="61"/>
      <c r="E3" s="61"/>
      <c r="F3" s="61"/>
      <c r="G3" s="61"/>
      <c r="H3" s="61"/>
      <c r="I3" s="61"/>
      <c r="J3" s="61"/>
      <c r="K3" s="61"/>
    </row>
    <row r="4" spans="1:24" ht="15" customHeight="1">
      <c r="A4" s="62" t="s">
        <v>4</v>
      </c>
      <c r="B4" s="64">
        <f>Date</f>
        <v>45159</v>
      </c>
      <c r="C4" s="61"/>
      <c r="D4" s="61"/>
      <c r="E4" s="61"/>
      <c r="F4" s="61"/>
      <c r="G4" s="61"/>
      <c r="H4" s="61"/>
      <c r="I4" s="61"/>
      <c r="J4" s="61"/>
      <c r="K4" s="61"/>
    </row>
    <row r="5" spans="1:24" ht="30" customHeight="1">
      <c r="A5" s="62"/>
      <c r="B5" s="65"/>
      <c r="C5" s="61"/>
      <c r="D5" s="61"/>
      <c r="E5" s="61"/>
      <c r="F5" s="61"/>
      <c r="G5" s="61"/>
      <c r="H5" s="61"/>
      <c r="I5" s="61"/>
      <c r="J5" s="61"/>
      <c r="K5" s="61"/>
    </row>
    <row r="6" spans="1:24" ht="30" customHeight="1" thickBot="1">
      <c r="A6" s="62"/>
      <c r="B6" s="65"/>
      <c r="C6" s="61"/>
      <c r="D6" s="61"/>
      <c r="E6" s="61"/>
      <c r="F6" s="61"/>
      <c r="G6" s="61"/>
      <c r="H6" s="61"/>
      <c r="I6" s="61"/>
      <c r="J6" s="61"/>
      <c r="K6" s="61"/>
    </row>
    <row r="7" spans="1:24" ht="136.5" customHeight="1" thickBot="1">
      <c r="A7" s="460" t="s">
        <v>55</v>
      </c>
      <c r="B7" s="457"/>
      <c r="C7" s="457"/>
      <c r="D7" s="457"/>
      <c r="E7" s="457"/>
      <c r="F7" s="457"/>
      <c r="G7" s="457"/>
      <c r="H7" s="457"/>
      <c r="I7" s="457"/>
      <c r="J7" s="457"/>
      <c r="K7" s="457"/>
      <c r="L7" s="457"/>
      <c r="M7" s="457"/>
      <c r="N7" s="457"/>
      <c r="O7" s="458"/>
    </row>
    <row r="9" spans="1:24">
      <c r="A9" s="71" t="s">
        <v>31</v>
      </c>
      <c r="B9" s="71"/>
      <c r="C9" s="71"/>
      <c r="D9" s="71"/>
      <c r="E9" s="71"/>
      <c r="F9" s="71"/>
      <c r="G9" s="71"/>
      <c r="H9" s="71"/>
      <c r="I9" s="71"/>
      <c r="J9" s="71"/>
      <c r="K9" s="71"/>
      <c r="L9" s="71"/>
      <c r="M9" s="71"/>
      <c r="N9" s="71"/>
      <c r="O9" s="71"/>
      <c r="P9" s="71"/>
      <c r="Q9" s="71"/>
      <c r="R9" s="71"/>
      <c r="S9" s="71"/>
      <c r="T9" s="71"/>
      <c r="U9" s="71"/>
      <c r="V9" s="71"/>
      <c r="W9" s="71"/>
      <c r="X9" s="71"/>
    </row>
    <row r="10" spans="1:24">
      <c r="A10" s="349"/>
      <c r="B10" s="349"/>
      <c r="C10" s="349"/>
      <c r="D10" s="349"/>
      <c r="E10" s="349"/>
      <c r="F10" s="349"/>
      <c r="G10" s="349"/>
      <c r="H10" s="349"/>
      <c r="I10" s="349"/>
      <c r="J10" s="349"/>
      <c r="K10" s="349"/>
      <c r="L10" s="349"/>
      <c r="M10" s="349"/>
      <c r="N10" s="349"/>
      <c r="O10" s="349"/>
      <c r="P10" s="71"/>
      <c r="Q10" s="71"/>
      <c r="R10" s="71"/>
      <c r="S10" s="71"/>
      <c r="T10" s="71"/>
      <c r="U10" s="71"/>
      <c r="V10" s="71"/>
      <c r="W10" s="71"/>
      <c r="X10" s="71"/>
    </row>
    <row r="11" spans="1:24" s="89" customFormat="1" ht="65.25">
      <c r="A11" s="255" t="s">
        <v>32</v>
      </c>
      <c r="B11" s="255" t="s">
        <v>21</v>
      </c>
      <c r="C11" s="331" t="s">
        <v>33</v>
      </c>
      <c r="D11" s="255" t="s">
        <v>34</v>
      </c>
      <c r="E11" s="255" t="s">
        <v>35</v>
      </c>
      <c r="F11" s="255" t="s">
        <v>36</v>
      </c>
      <c r="G11" s="332" t="s">
        <v>37</v>
      </c>
      <c r="H11" s="255" t="s">
        <v>38</v>
      </c>
      <c r="I11" s="255" t="s">
        <v>39</v>
      </c>
      <c r="J11" s="255" t="s">
        <v>40</v>
      </c>
      <c r="K11" s="255" t="s">
        <v>41</v>
      </c>
      <c r="L11" s="255" t="s">
        <v>42</v>
      </c>
      <c r="M11" s="333" t="s">
        <v>43</v>
      </c>
      <c r="N11" s="334" t="s">
        <v>44</v>
      </c>
      <c r="O11" s="335" t="s">
        <v>45</v>
      </c>
    </row>
    <row r="12" spans="1:24">
      <c r="A12" s="112">
        <v>1</v>
      </c>
      <c r="B12" s="112">
        <f>First_Year</f>
        <v>2023</v>
      </c>
      <c r="C12" s="180"/>
      <c r="D12" s="181"/>
      <c r="E12" s="181"/>
      <c r="F12" s="181"/>
      <c r="G12" s="182"/>
      <c r="H12" s="181">
        <f>-'MM_11. Work Zone Impact Costs'!B27</f>
        <v>0</v>
      </c>
      <c r="I12" s="181"/>
      <c r="J12" s="181"/>
      <c r="K12" s="181"/>
      <c r="L12" s="181"/>
      <c r="M12" s="183">
        <f t="shared" ref="M12:M51" si="0">SUM(C12:L12)</f>
        <v>0</v>
      </c>
      <c r="N12" s="184">
        <f>(($M12-$E12)/((1+'MM_ES-1. Executive Summary'!$F$12)^$A12))+($E12/(1+'MM_ES-1. Executive Summary'!$F$13)^$A12)</f>
        <v>0</v>
      </c>
      <c r="O12" s="185">
        <f>$M12/((1+'MM_ES-1. Executive Summary'!$F$13)^$A12)</f>
        <v>0</v>
      </c>
      <c r="Q12" s="293"/>
    </row>
    <row r="13" spans="1:24">
      <c r="A13" s="112">
        <f>A12+1</f>
        <v>2</v>
      </c>
      <c r="B13" s="112">
        <f t="shared" ref="B13:B51" si="1">IFERROR(IF(B12+1&lt;Last_Year+1,B12+1,""),"")</f>
        <v>2024</v>
      </c>
      <c r="C13" s="180"/>
      <c r="D13" s="181"/>
      <c r="E13" s="181"/>
      <c r="F13" s="181"/>
      <c r="G13" s="182"/>
      <c r="H13" s="181">
        <f>-'MM_11. Work Zone Impact Costs'!B28</f>
        <v>-113871.33997340442</v>
      </c>
      <c r="I13" s="181"/>
      <c r="J13" s="181"/>
      <c r="K13" s="181"/>
      <c r="L13" s="181"/>
      <c r="M13" s="183">
        <f t="shared" si="0"/>
        <v>-113871.33997340442</v>
      </c>
      <c r="N13" s="184">
        <f>(($M13-$E13)/((1+'MM_ES-1. Executive Summary'!$F$12)^$A13))+($E13/(1+'MM_ES-1. Executive Summary'!$F$13)^$A13)</f>
        <v>-99459.638373136884</v>
      </c>
      <c r="O13" s="185">
        <f>$M13/((1+'MM_ES-1. Executive Summary'!$F$13)^$A13)</f>
        <v>-107334.65922650998</v>
      </c>
      <c r="Q13" s="293"/>
    </row>
    <row r="14" spans="1:24">
      <c r="A14" s="112">
        <f t="shared" ref="A14:A51" si="2">A13+1</f>
        <v>3</v>
      </c>
      <c r="B14" s="112">
        <f t="shared" si="1"/>
        <v>2025</v>
      </c>
      <c r="C14" s="180"/>
      <c r="D14" s="181"/>
      <c r="E14" s="181"/>
      <c r="F14" s="181"/>
      <c r="G14" s="182"/>
      <c r="H14" s="181">
        <f>-'MM_11. Work Zone Impact Costs'!B29</f>
        <v>-455485.35989361769</v>
      </c>
      <c r="I14" s="181"/>
      <c r="J14" s="181"/>
      <c r="K14" s="181"/>
      <c r="L14" s="181"/>
      <c r="M14" s="183">
        <f t="shared" si="0"/>
        <v>-455485.35989361769</v>
      </c>
      <c r="N14" s="184">
        <f>(($M14-$E14)/((1+'MM_ES-1. Executive Summary'!$F$12)^$A14))+($E14/(1+'MM_ES-1. Executive Summary'!$F$13)^$A14)</f>
        <v>-371811.73223602574</v>
      </c>
      <c r="O14" s="185">
        <f>$M14/((1+'MM_ES-1. Executive Summary'!$F$13)^$A14)</f>
        <v>-416833.62806411635</v>
      </c>
      <c r="Q14" s="293"/>
    </row>
    <row r="15" spans="1:24">
      <c r="A15" s="112">
        <f t="shared" si="2"/>
        <v>4</v>
      </c>
      <c r="B15" s="112">
        <f t="shared" si="1"/>
        <v>2026</v>
      </c>
      <c r="C15" s="180"/>
      <c r="D15" s="181"/>
      <c r="E15" s="181"/>
      <c r="F15" s="181"/>
      <c r="G15" s="182"/>
      <c r="H15" s="181">
        <f>-'MM_11. Work Zone Impact Costs'!B30</f>
        <v>-455485.35989361769</v>
      </c>
      <c r="I15" s="181"/>
      <c r="J15" s="181"/>
      <c r="K15" s="181"/>
      <c r="L15" s="181"/>
      <c r="M15" s="183">
        <f t="shared" si="0"/>
        <v>-455485.35989361769</v>
      </c>
      <c r="N15" s="184">
        <f>(($M15-$E15)/((1+'MM_ES-1. Executive Summary'!$F$12)^$A15))+($E15/(1+'MM_ES-1. Executive Summary'!$F$13)^$A15)</f>
        <v>-347487.60022058478</v>
      </c>
      <c r="O15" s="185">
        <f>$M15/((1+'MM_ES-1. Executive Summary'!$F$13)^$A15)</f>
        <v>-404692.84278069553</v>
      </c>
      <c r="Q15" s="293"/>
    </row>
    <row r="16" spans="1:24">
      <c r="A16" s="113">
        <f t="shared" si="2"/>
        <v>5</v>
      </c>
      <c r="B16" s="113">
        <f t="shared" si="1"/>
        <v>2027</v>
      </c>
      <c r="C16" s="188"/>
      <c r="D16" s="189"/>
      <c r="E16" s="189"/>
      <c r="F16" s="189"/>
      <c r="G16" s="190"/>
      <c r="H16" s="189">
        <f>-'MM_11. Work Zone Impact Costs'!B31</f>
        <v>-455485.35989361769</v>
      </c>
      <c r="I16" s="189"/>
      <c r="J16" s="189"/>
      <c r="K16" s="189"/>
      <c r="L16" s="189"/>
      <c r="M16" s="191">
        <f t="shared" si="0"/>
        <v>-455485.35989361769</v>
      </c>
      <c r="N16" s="192">
        <f>(($M16-$E16)/((1+'MM_ES-1. Executive Summary'!$F$12)^$A16))+($E16/(1+'MM_ES-1. Executive Summary'!$F$13)^$A16)</f>
        <v>-324754.76656129415</v>
      </c>
      <c r="O16" s="193">
        <f>$M16/((1+'MM_ES-1. Executive Summary'!$F$13)^$A16)</f>
        <v>-392905.67260261707</v>
      </c>
      <c r="Q16" s="293"/>
    </row>
    <row r="17" spans="1:24">
      <c r="A17" s="113">
        <f t="shared" si="2"/>
        <v>6</v>
      </c>
      <c r="B17" s="113">
        <f t="shared" si="1"/>
        <v>2028</v>
      </c>
      <c r="C17" s="188">
        <f>'MM_1B. Safety Backup'!G21</f>
        <v>596682</v>
      </c>
      <c r="D17" s="189">
        <f>SUM('MM_2B. Emissions Backup'!C187:E187)</f>
        <v>16416.52036999859</v>
      </c>
      <c r="E17" s="189">
        <f>'MM_2B. Emissions Backup'!F187</f>
        <v>6147.7957990325376</v>
      </c>
      <c r="F17" s="189">
        <f>'MM_3D. TTS Backup All Years'!G97</f>
        <v>3950990.3273005993</v>
      </c>
      <c r="G17" s="190"/>
      <c r="H17" s="189">
        <f>-'MM_11. Work Zone Impact Costs'!B32</f>
        <v>-227742.67994680884</v>
      </c>
      <c r="I17" s="189"/>
      <c r="J17" s="189"/>
      <c r="K17" s="189"/>
      <c r="L17" s="189"/>
      <c r="M17" s="191">
        <f t="shared" si="0"/>
        <v>4342493.9635228217</v>
      </c>
      <c r="N17" s="192">
        <f>(($M17-$E17)/((1+'MM_ES-1. Executive Summary'!$F$12)^$A17))+($E17/(1+'MM_ES-1. Executive Summary'!$F$13)^$A17)</f>
        <v>2894639.2308342769</v>
      </c>
      <c r="O17" s="193">
        <f>$M17/((1+'MM_ES-1. Executive Summary'!$F$13)^$A17)</f>
        <v>3636770.3291941667</v>
      </c>
      <c r="Q17" s="293"/>
      <c r="X17" s="81"/>
    </row>
    <row r="18" spans="1:24">
      <c r="A18" s="112">
        <f t="shared" si="2"/>
        <v>7</v>
      </c>
      <c r="B18" s="112">
        <f t="shared" si="1"/>
        <v>2029</v>
      </c>
      <c r="C18" s="180">
        <f>'MM_1B. Safety Backup'!G22</f>
        <v>596682</v>
      </c>
      <c r="D18" s="181">
        <f>SUM('MM_2B. Emissions Backup'!C188:E188)</f>
        <v>27685.589329867369</v>
      </c>
      <c r="E18" s="181">
        <f>'MM_2B. Emissions Backup'!F188</f>
        <v>8844.2166607550462</v>
      </c>
      <c r="F18" s="181">
        <f>'MM_3D. TTS Backup All Years'!G98</f>
        <v>5402142.3897382459</v>
      </c>
      <c r="G18" s="182">
        <f>Table4.1_ForegoneSummary[[#Totals],[Annual Average]]</f>
        <v>0</v>
      </c>
      <c r="H18" s="181">
        <f>-'MM_11. Work Zone Impact Costs'!B33</f>
        <v>0</v>
      </c>
      <c r="I18" s="181">
        <f>Table4.1_ForegoneSummary63[[#Totals],[Annual Benefit]]</f>
        <v>0</v>
      </c>
      <c r="J18" s="181">
        <f>Table4.1_ForegoneSummary6365[[#Totals],[Annual Benefit]]</f>
        <v>0</v>
      </c>
      <c r="K18" s="181">
        <f>Table70[[#Totals],[Annual Benefits]]</f>
        <v>0</v>
      </c>
      <c r="L18" s="181">
        <f>Table71[[#Totals],[Annual Benefit]]</f>
        <v>0</v>
      </c>
      <c r="M18" s="183">
        <f t="shared" si="0"/>
        <v>6035354.1957288682</v>
      </c>
      <c r="N18" s="184">
        <f>(($M18-$E18)/((1+'MM_ES-1. Executive Summary'!$F$12)^$A18))+($E18/(1+'MM_ES-1. Executive Summary'!$F$13)^$A18)</f>
        <v>3760198.6914209216</v>
      </c>
      <c r="O18" s="185">
        <f>$M18/((1+'MM_ES-1. Executive Summary'!$F$13)^$A18)</f>
        <v>4907295.2644976368</v>
      </c>
      <c r="Q18" s="293"/>
    </row>
    <row r="19" spans="1:24">
      <c r="A19" s="112">
        <f t="shared" si="2"/>
        <v>8</v>
      </c>
      <c r="B19" s="112">
        <f t="shared" si="1"/>
        <v>2030</v>
      </c>
      <c r="C19" s="180">
        <f>'MM_1B. Safety Backup'!G23</f>
        <v>596682</v>
      </c>
      <c r="D19" s="181">
        <f>SUM('MM_2B. Emissions Backup'!C189:E189)</f>
        <v>39337.533444359156</v>
      </c>
      <c r="E19" s="181">
        <f>'MM_2B. Emissions Backup'!F189</f>
        <v>11624.367758736698</v>
      </c>
      <c r="F19" s="181">
        <f>'MM_3D. TTS Backup All Years'!G99</f>
        <v>6853294.4521758975</v>
      </c>
      <c r="G19" s="182">
        <f>Table4.1_ForegoneSummary[[#Totals],[Annual Average]]</f>
        <v>0</v>
      </c>
      <c r="H19" s="181">
        <f>-'MM_11. Work Zone Impact Costs'!B34</f>
        <v>0</v>
      </c>
      <c r="I19" s="181">
        <f>Table4.1_ForegoneSummary63[[#Totals],[Annual Benefit]]</f>
        <v>0</v>
      </c>
      <c r="J19" s="181">
        <f>Table4.1_ForegoneSummary6365[[#Totals],[Annual Benefit]]</f>
        <v>0</v>
      </c>
      <c r="K19" s="181">
        <f>Table70[[#Totals],[Annual Benefits]]</f>
        <v>0</v>
      </c>
      <c r="L19" s="181">
        <f>Table71[[#Totals],[Annual Benefit]]</f>
        <v>0</v>
      </c>
      <c r="M19" s="183">
        <f t="shared" si="0"/>
        <v>7500938.3533789935</v>
      </c>
      <c r="N19" s="184">
        <f>(($M19-$E19)/((1+'MM_ES-1. Executive Summary'!$F$12)^$A19))+($E19/(1+'MM_ES-1. Executive Summary'!$F$13)^$A19)</f>
        <v>4368025.3098290721</v>
      </c>
      <c r="O19" s="185">
        <f>$M19/((1+'MM_ES-1. Executive Summary'!$F$13)^$A19)</f>
        <v>5921310.0021769451</v>
      </c>
    </row>
    <row r="20" spans="1:24">
      <c r="A20" s="112">
        <f t="shared" si="2"/>
        <v>9</v>
      </c>
      <c r="B20" s="112">
        <f t="shared" si="1"/>
        <v>2031</v>
      </c>
      <c r="C20" s="180">
        <f>'MM_1B. Safety Backup'!G24</f>
        <v>596682</v>
      </c>
      <c r="D20" s="181">
        <f>SUM('MM_2B. Emissions Backup'!C190:E190)</f>
        <v>51329.324067188194</v>
      </c>
      <c r="E20" s="181">
        <f>'MM_2B. Emissions Backup'!F190</f>
        <v>14714.627985055267</v>
      </c>
      <c r="F20" s="181">
        <f>'MM_3D. TTS Backup All Years'!G100</f>
        <v>8304446.5146135502</v>
      </c>
      <c r="G20" s="182">
        <f>Table4.1_ForegoneSummary[[#Totals],[Annual Average]]</f>
        <v>0</v>
      </c>
      <c r="H20" s="181">
        <f>-'MM_11. Work Zone Impact Costs'!B35</f>
        <v>0</v>
      </c>
      <c r="I20" s="181">
        <f>Table4.1_ForegoneSummary63[[#Totals],[Annual Benefit]]</f>
        <v>0</v>
      </c>
      <c r="J20" s="181">
        <f>Table4.1_ForegoneSummary6365[[#Totals],[Annual Benefit]]</f>
        <v>0</v>
      </c>
      <c r="K20" s="181">
        <f>Table70[[#Totals],[Annual Benefits]]</f>
        <v>0</v>
      </c>
      <c r="L20" s="181">
        <f>Table71[[#Totals],[Annual Benefit]]</f>
        <v>0</v>
      </c>
      <c r="M20" s="183">
        <f t="shared" si="0"/>
        <v>8967172.4666657932</v>
      </c>
      <c r="N20" s="184">
        <f>(($M20-$E20)/((1+'MM_ES-1. Executive Summary'!$F$12)^$A20))+($E20/(1+'MM_ES-1. Executive Summary'!$F$13)^$A20)</f>
        <v>4880821.434618365</v>
      </c>
      <c r="O20" s="185">
        <f>$M20/((1+'MM_ES-1. Executive Summary'!$F$13)^$A20)</f>
        <v>6872591.020263738</v>
      </c>
    </row>
    <row r="21" spans="1:24">
      <c r="A21" s="112">
        <f t="shared" si="2"/>
        <v>10</v>
      </c>
      <c r="B21" s="112">
        <f t="shared" si="1"/>
        <v>2032</v>
      </c>
      <c r="C21" s="180">
        <f>'MM_1B. Safety Backup'!G25</f>
        <v>596682</v>
      </c>
      <c r="D21" s="181">
        <f>SUM('MM_2B. Emissions Backup'!C191:E191)</f>
        <v>62694.54040937523</v>
      </c>
      <c r="E21" s="181">
        <f>'MM_2B. Emissions Backup'!F191</f>
        <v>17704.104673684778</v>
      </c>
      <c r="F21" s="181">
        <f>'MM_3D. TTS Backup All Years'!G101</f>
        <v>9755598.5770511944</v>
      </c>
      <c r="G21" s="182">
        <f>Table4.1_ForegoneSummary[[#Totals],[Annual Average]]</f>
        <v>0</v>
      </c>
      <c r="H21" s="181">
        <f>-'MM_11. Work Zone Impact Costs'!B36</f>
        <v>0</v>
      </c>
      <c r="I21" s="181">
        <f>Table4.1_ForegoneSummary63[[#Totals],[Annual Benefit]]</f>
        <v>0</v>
      </c>
      <c r="J21" s="181">
        <f>Table4.1_ForegoneSummary6365[[#Totals],[Annual Benefit]]</f>
        <v>0</v>
      </c>
      <c r="K21" s="181">
        <f>Table70[[#Totals],[Annual Benefits]]</f>
        <v>0</v>
      </c>
      <c r="L21" s="181">
        <f>Table71[[#Totals],[Annual Benefit]]</f>
        <v>0</v>
      </c>
      <c r="M21" s="183">
        <f t="shared" si="0"/>
        <v>10432679.222134255</v>
      </c>
      <c r="N21" s="184">
        <f>(($M21-$E21)/((1+'MM_ES-1. Executive Summary'!$F$12)^$A21))+($E21/(1+'MM_ES-1. Executive Summary'!$F$13)^$A21)</f>
        <v>5307618.7451181626</v>
      </c>
      <c r="O21" s="185">
        <f>$M21/((1+'MM_ES-1. Executive Summary'!$F$13)^$A21)</f>
        <v>7762893.1252595996</v>
      </c>
    </row>
    <row r="22" spans="1:24">
      <c r="A22" s="112">
        <f t="shared" si="2"/>
        <v>11</v>
      </c>
      <c r="B22" s="112">
        <f t="shared" si="1"/>
        <v>2033</v>
      </c>
      <c r="C22" s="180">
        <f>'MM_1B. Safety Backup'!G26</f>
        <v>596682</v>
      </c>
      <c r="D22" s="181">
        <f>SUM('MM_2B. Emissions Backup'!C192:E192)</f>
        <v>74059.756751562265</v>
      </c>
      <c r="E22" s="181">
        <f>'MM_2B. Emissions Backup'!F192</f>
        <v>21615.210770032118</v>
      </c>
      <c r="F22" s="181">
        <f>'MM_3D. TTS Backup All Years'!G102</f>
        <v>11206750.639488848</v>
      </c>
      <c r="G22" s="182">
        <f>Table4.1_ForegoneSummary[[#Totals],[Annual Average]]</f>
        <v>0</v>
      </c>
      <c r="H22" s="181">
        <f>-'MM_11. Work Zone Impact Costs'!B37</f>
        <v>0</v>
      </c>
      <c r="I22" s="181">
        <f>Table4.1_ForegoneSummary63[[#Totals],[Annual Benefit]]</f>
        <v>0</v>
      </c>
      <c r="J22" s="181">
        <f>Table4.1_ForegoneSummary6365[[#Totals],[Annual Benefit]]</f>
        <v>0</v>
      </c>
      <c r="K22" s="181">
        <f>Table70[[#Totals],[Annual Benefits]]</f>
        <v>0</v>
      </c>
      <c r="L22" s="181">
        <f>Table71[[#Totals],[Annual Benefit]]</f>
        <v>0</v>
      </c>
      <c r="M22" s="183">
        <f t="shared" si="0"/>
        <v>11899107.607010443</v>
      </c>
      <c r="N22" s="184">
        <f>(($M22-$E22)/((1+'MM_ES-1. Executive Summary'!$F$12)^$A22))+($E22/(1+'MM_ES-1. Executive Summary'!$F$13)^$A22)</f>
        <v>5658526.3647605926</v>
      </c>
      <c r="O22" s="185">
        <f>$M22/((1+'MM_ES-1. Executive Summary'!$F$13)^$A22)</f>
        <v>8596168.5078425277</v>
      </c>
    </row>
    <row r="23" spans="1:24">
      <c r="A23" s="112">
        <f t="shared" si="2"/>
        <v>12</v>
      </c>
      <c r="B23" s="112">
        <f t="shared" si="1"/>
        <v>2034</v>
      </c>
      <c r="C23" s="180">
        <f>'MM_1B. Safety Backup'!G27</f>
        <v>596682</v>
      </c>
      <c r="D23" s="181">
        <f>SUM('MM_2B. Emissions Backup'!C193:E193)</f>
        <v>85424.973093749286</v>
      </c>
      <c r="E23" s="181">
        <f>'MM_2B. Emissions Backup'!F193</f>
        <v>25526.316866379457</v>
      </c>
      <c r="F23" s="181">
        <f>'MM_3D. TTS Backup All Years'!G103</f>
        <v>12657902.701926492</v>
      </c>
      <c r="G23" s="182">
        <f>Table4.1_ForegoneSummary[[#Totals],[Annual Average]]</f>
        <v>0</v>
      </c>
      <c r="H23" s="181">
        <f>-'MM_11. Work Zone Impact Costs'!B38</f>
        <v>0</v>
      </c>
      <c r="I23" s="181">
        <f>Table4.1_ForegoneSummary63[[#Totals],[Annual Benefit]]</f>
        <v>0</v>
      </c>
      <c r="J23" s="181">
        <f>Table4.1_ForegoneSummary6365[[#Totals],[Annual Benefit]]</f>
        <v>0</v>
      </c>
      <c r="K23" s="181">
        <f>Table70[[#Totals],[Annual Benefits]]</f>
        <v>0</v>
      </c>
      <c r="L23" s="181">
        <f>Table71[[#Totals],[Annual Benefit]]</f>
        <v>0</v>
      </c>
      <c r="M23" s="183">
        <f t="shared" si="0"/>
        <v>13365535.991886621</v>
      </c>
      <c r="N23" s="184">
        <f>(($M23-$E23)/((1+'MM_ES-1. Executive Summary'!$F$12)^$A23))+($E23/(1+'MM_ES-1. Executive Summary'!$F$13)^$A23)</f>
        <v>5941027.4771616105</v>
      </c>
      <c r="O23" s="185">
        <f>$M23/((1+'MM_ES-1. Executive Summary'!$F$13)^$A23)</f>
        <v>9374318.0327043105</v>
      </c>
    </row>
    <row r="24" spans="1:24">
      <c r="A24" s="112">
        <f t="shared" si="2"/>
        <v>13</v>
      </c>
      <c r="B24" s="112">
        <f t="shared" si="1"/>
        <v>2035</v>
      </c>
      <c r="C24" s="180">
        <f>'MM_1B. Safety Backup'!G28</f>
        <v>596682</v>
      </c>
      <c r="D24" s="181">
        <f>SUM('MM_2B. Emissions Backup'!C194:E194)</f>
        <v>96790.189435936321</v>
      </c>
      <c r="E24" s="181">
        <f>'MM_2B. Emissions Backup'!F194</f>
        <v>29437.422962726796</v>
      </c>
      <c r="F24" s="181">
        <f>'MM_3D. TTS Backup All Years'!G104</f>
        <v>14109054.764364149</v>
      </c>
      <c r="G24" s="182">
        <f>Table4.1_ForegoneSummary[[#Totals],[Annual Average]]</f>
        <v>0</v>
      </c>
      <c r="H24" s="181">
        <f>-'MM_11. Work Zone Impact Costs'!B39</f>
        <v>0</v>
      </c>
      <c r="I24" s="181">
        <f>Table4.1_ForegoneSummary63[[#Totals],[Annual Benefit]]</f>
        <v>0</v>
      </c>
      <c r="J24" s="181">
        <f>Table4.1_ForegoneSummary6365[[#Totals],[Annual Benefit]]</f>
        <v>0</v>
      </c>
      <c r="K24" s="181">
        <f>Table70[[#Totals],[Annual Benefits]]</f>
        <v>0</v>
      </c>
      <c r="L24" s="181">
        <f>Table71[[#Totals],[Annual Benefit]]</f>
        <v>0</v>
      </c>
      <c r="M24" s="183">
        <f t="shared" si="0"/>
        <v>14831964.376762813</v>
      </c>
      <c r="N24" s="184">
        <f>(($M24-$E24)/((1+'MM_ES-1. Executive Summary'!$F$12)^$A24))+($E24/(1+'MM_ES-1. Executive Summary'!$F$13)^$A24)</f>
        <v>6162567.8773512645</v>
      </c>
      <c r="O24" s="185">
        <f>$M24/((1+'MM_ES-1. Executive Summary'!$F$13)^$A24)</f>
        <v>10099846.017087717</v>
      </c>
    </row>
    <row r="25" spans="1:24">
      <c r="A25" s="112">
        <f t="shared" si="2"/>
        <v>14</v>
      </c>
      <c r="B25" s="112">
        <f t="shared" si="1"/>
        <v>2036</v>
      </c>
      <c r="C25" s="180">
        <f>'MM_1B. Safety Backup'!G29</f>
        <v>596682</v>
      </c>
      <c r="D25" s="181">
        <f>SUM('MM_2B. Emissions Backup'!C195:E195)</f>
        <v>108155.40577812336</v>
      </c>
      <c r="E25" s="181">
        <f>'MM_2B. Emissions Backup'!F195</f>
        <v>33348.529059074135</v>
      </c>
      <c r="F25" s="181">
        <f>'MM_3D. TTS Backup All Years'!G105</f>
        <v>15560206.826801794</v>
      </c>
      <c r="G25" s="182">
        <f>Table4.1_ForegoneSummary[[#Totals],[Annual Average]]</f>
        <v>0</v>
      </c>
      <c r="H25" s="181">
        <v>0</v>
      </c>
      <c r="I25" s="181">
        <f>Table4.1_ForegoneSummary63[[#Totals],[Annual Benefit]]</f>
        <v>0</v>
      </c>
      <c r="J25" s="181">
        <f>Table4.1_ForegoneSummary6365[[#Totals],[Annual Benefit]]</f>
        <v>0</v>
      </c>
      <c r="K25" s="181">
        <f>Table70[[#Totals],[Annual Benefits]]</f>
        <v>0</v>
      </c>
      <c r="L25" s="181">
        <f>Table71[[#Totals],[Annual Benefit]]</f>
        <v>0</v>
      </c>
      <c r="M25" s="183">
        <f t="shared" si="0"/>
        <v>16298392.761638992</v>
      </c>
      <c r="N25" s="184">
        <f>(($M25-$E25)/((1+'MM_ES-1. Executive Summary'!$F$12)^$A25))+($E25/(1+'MM_ES-1. Executive Summary'!$F$13)^$A25)</f>
        <v>6329911.8856627094</v>
      </c>
      <c r="O25" s="185">
        <f>$M25/((1+'MM_ES-1. Executive Summary'!$F$13)^$A25)</f>
        <v>10775157.660944836</v>
      </c>
    </row>
    <row r="26" spans="1:24">
      <c r="A26" s="112">
        <f t="shared" si="2"/>
        <v>15</v>
      </c>
      <c r="B26" s="112">
        <f t="shared" si="1"/>
        <v>2037</v>
      </c>
      <c r="C26" s="180">
        <f>'MM_1B. Safety Backup'!G30</f>
        <v>596682</v>
      </c>
      <c r="D26" s="181">
        <f>SUM('MM_2B. Emissions Backup'!C196:E196)</f>
        <v>119520.62212031039</v>
      </c>
      <c r="E26" s="181">
        <f>'MM_2B. Emissions Backup'!F196</f>
        <v>37259.635155421471</v>
      </c>
      <c r="F26" s="181">
        <f>'MM_3D. TTS Backup All Years'!G106</f>
        <v>17011358.889239442</v>
      </c>
      <c r="G26" s="182">
        <f>Table4.1_ForegoneSummary[[#Totals],[Annual Average]]</f>
        <v>0</v>
      </c>
      <c r="H26" s="181">
        <v>0</v>
      </c>
      <c r="I26" s="181">
        <f>Table4.1_ForegoneSummary63[[#Totals],[Annual Benefit]]</f>
        <v>0</v>
      </c>
      <c r="J26" s="181">
        <f>Table4.1_ForegoneSummary6365[[#Totals],[Annual Benefit]]</f>
        <v>0</v>
      </c>
      <c r="K26" s="181">
        <f>Table70[[#Totals],[Annual Benefits]]</f>
        <v>0</v>
      </c>
      <c r="L26" s="181">
        <f>Table71[[#Totals],[Annual Benefit]]</f>
        <v>0</v>
      </c>
      <c r="M26" s="183">
        <f t="shared" si="0"/>
        <v>17764821.146515172</v>
      </c>
      <c r="N26" s="184">
        <f>(($M26-$E26)/((1+'MM_ES-1. Executive Summary'!$F$12)^$A26))+($E26/(1+'MM_ES-1. Executive Summary'!$F$13)^$A26)</f>
        <v>6449199.6497375863</v>
      </c>
      <c r="O26" s="185">
        <f>$M26/((1+'MM_ES-1. Executive Summary'!$F$13)^$A26)</f>
        <v>11402562.696256619</v>
      </c>
    </row>
    <row r="27" spans="1:24">
      <c r="A27" s="112">
        <f t="shared" si="2"/>
        <v>16</v>
      </c>
      <c r="B27" s="112">
        <f t="shared" si="1"/>
        <v>2038</v>
      </c>
      <c r="C27" s="180">
        <f>'MM_1B. Safety Backup'!G31</f>
        <v>596682</v>
      </c>
      <c r="D27" s="181">
        <f>SUM('MM_2B. Emissions Backup'!C197:E197)</f>
        <v>130885.83846249743</v>
      </c>
      <c r="E27" s="181">
        <f>'MM_2B. Emissions Backup'!F197</f>
        <v>41170.741251768806</v>
      </c>
      <c r="F27" s="181">
        <f>'MM_3D. TTS Backup All Years'!G107</f>
        <v>18462510.951677088</v>
      </c>
      <c r="G27" s="182">
        <f>Table4.1_ForegoneSummary[[#Totals],[Annual Average]]</f>
        <v>0</v>
      </c>
      <c r="H27" s="181">
        <v>0</v>
      </c>
      <c r="I27" s="181">
        <f>Table4.1_ForegoneSummary63[[#Totals],[Annual Benefit]]</f>
        <v>0</v>
      </c>
      <c r="J27" s="181">
        <f>Table4.1_ForegoneSummary6365[[#Totals],[Annual Benefit]]</f>
        <v>0</v>
      </c>
      <c r="K27" s="181">
        <f>Table70[[#Totals],[Annual Benefits]]</f>
        <v>0</v>
      </c>
      <c r="L27" s="181">
        <f>Table71[[#Totals],[Annual Benefit]]</f>
        <v>0</v>
      </c>
      <c r="M27" s="183">
        <f t="shared" si="0"/>
        <v>19231249.531391352</v>
      </c>
      <c r="N27" s="184">
        <f>(($M27-$E27)/((1+'MM_ES-1. Executive Summary'!$F$12)^$A27))+($E27/(1+'MM_ES-1. Executive Summary'!$F$13)^$A27)</f>
        <v>6525999.8654742427</v>
      </c>
      <c r="O27" s="185">
        <f>$M27/((1+'MM_ES-1. Executive Summary'!$F$13)^$A27)</f>
        <v>11984278.907855408</v>
      </c>
    </row>
    <row r="28" spans="1:24">
      <c r="A28" s="112">
        <f t="shared" si="2"/>
        <v>17</v>
      </c>
      <c r="B28" s="112">
        <f t="shared" si="1"/>
        <v>2039</v>
      </c>
      <c r="C28" s="180">
        <f>'MM_1B. Safety Backup'!G32</f>
        <v>596682</v>
      </c>
      <c r="D28" s="181">
        <f>SUM('MM_2B. Emissions Backup'!C198:E198)</f>
        <v>142251.05480468448</v>
      </c>
      <c r="E28" s="181">
        <f>'MM_2B. Emissions Backup'!F198</f>
        <v>45081.847348116142</v>
      </c>
      <c r="F28" s="181">
        <f>'MM_3D. TTS Backup All Years'!G108</f>
        <v>19913663.014114734</v>
      </c>
      <c r="G28" s="182">
        <f>Table4.1_ForegoneSummary[[#Totals],[Annual Average]]</f>
        <v>0</v>
      </c>
      <c r="H28" s="181">
        <v>0</v>
      </c>
      <c r="I28" s="181">
        <f>Table4.1_ForegoneSummary63[[#Totals],[Annual Benefit]]</f>
        <v>0</v>
      </c>
      <c r="J28" s="181">
        <f>Table4.1_ForegoneSummary6365[[#Totals],[Annual Benefit]]</f>
        <v>0</v>
      </c>
      <c r="K28" s="181">
        <f>Table70[[#Totals],[Annual Benefits]]</f>
        <v>0</v>
      </c>
      <c r="L28" s="181">
        <f>Table71[[#Totals],[Annual Benefit]]</f>
        <v>0</v>
      </c>
      <c r="M28" s="183">
        <f t="shared" si="0"/>
        <v>20697677.916267533</v>
      </c>
      <c r="N28" s="184">
        <f>(($M28-$E28)/((1+'MM_ES-1. Executive Summary'!$F$12)^$A28))+($E28/(1+'MM_ES-1. Executive Summary'!$F$13)^$A28)</f>
        <v>6565358.2710743155</v>
      </c>
      <c r="O28" s="185">
        <f>$M28/((1+'MM_ES-1. Executive Summary'!$F$13)^$A28)</f>
        <v>12522435.530139994</v>
      </c>
    </row>
    <row r="29" spans="1:24">
      <c r="A29" s="112">
        <f t="shared" si="2"/>
        <v>18</v>
      </c>
      <c r="B29" s="112">
        <f t="shared" si="1"/>
        <v>2040</v>
      </c>
      <c r="C29" s="180">
        <f>'MM_1B. Safety Backup'!G33</f>
        <v>596682</v>
      </c>
      <c r="D29" s="181">
        <f>SUM('MM_2B. Emissions Backup'!C199:E199)</f>
        <v>153616.2711468715</v>
      </c>
      <c r="E29" s="181">
        <f>'MM_2B. Emissions Backup'!F199</f>
        <v>48992.953444463477</v>
      </c>
      <c r="F29" s="181">
        <f>'MM_3D. TTS Backup All Years'!G109</f>
        <v>21364815.076552399</v>
      </c>
      <c r="G29" s="182">
        <f>Table4.1_ForegoneSummary[[#Totals],[Annual Average]]</f>
        <v>0</v>
      </c>
      <c r="H29" s="181">
        <v>0</v>
      </c>
      <c r="I29" s="181">
        <f>Table4.1_ForegoneSummary63[[#Totals],[Annual Benefit]]</f>
        <v>0</v>
      </c>
      <c r="J29" s="181">
        <f>Table4.1_ForegoneSummary6365[[#Totals],[Annual Benefit]]</f>
        <v>0</v>
      </c>
      <c r="K29" s="181">
        <f>Table70[[#Totals],[Annual Benefits]]</f>
        <v>0</v>
      </c>
      <c r="L29" s="181">
        <f>Table71[[#Totals],[Annual Benefit]]</f>
        <v>0</v>
      </c>
      <c r="M29" s="183">
        <f t="shared" si="0"/>
        <v>22164106.301143732</v>
      </c>
      <c r="N29" s="184">
        <f>(($M29-$E29)/((1+'MM_ES-1. Executive Summary'!$F$12)^$A29))+($E29/(1+'MM_ES-1. Executive Summary'!$F$13)^$A29)</f>
        <v>6571842.2416108306</v>
      </c>
      <c r="O29" s="185">
        <f>$M29/((1+'MM_ES-1. Executive Summary'!$F$13)^$A29)</f>
        <v>13019076.523925902</v>
      </c>
    </row>
    <row r="30" spans="1:24">
      <c r="A30" s="112">
        <f t="shared" si="2"/>
        <v>19</v>
      </c>
      <c r="B30" s="112">
        <f t="shared" si="1"/>
        <v>2041</v>
      </c>
      <c r="C30" s="180">
        <f>'MM_1B. Safety Backup'!G34</f>
        <v>596682</v>
      </c>
      <c r="D30" s="181">
        <f>SUM('MM_2B. Emissions Backup'!C200:E200)</f>
        <v>164981.48748905852</v>
      </c>
      <c r="E30" s="181">
        <f>'MM_2B. Emissions Backup'!F200</f>
        <v>52904.059540810813</v>
      </c>
      <c r="F30" s="181">
        <f>'MM_3D. TTS Backup All Years'!G110</f>
        <v>22815967.138990048</v>
      </c>
      <c r="G30" s="182">
        <f>Table4.1_ForegoneSummary[[#Totals],[Annual Average]]</f>
        <v>0</v>
      </c>
      <c r="H30" s="181">
        <v>0</v>
      </c>
      <c r="I30" s="181">
        <f>Table4.1_ForegoneSummary63[[#Totals],[Annual Benefit]]</f>
        <v>0</v>
      </c>
      <c r="J30" s="181">
        <f>Table4.1_ForegoneSummary6365[[#Totals],[Annual Benefit]]</f>
        <v>0</v>
      </c>
      <c r="K30" s="181">
        <f>Table70[[#Totals],[Annual Benefits]]</f>
        <v>0</v>
      </c>
      <c r="L30" s="181">
        <f>Table71[[#Totals],[Annual Benefit]]</f>
        <v>0</v>
      </c>
      <c r="M30" s="183">
        <f t="shared" si="0"/>
        <v>23630534.686019916</v>
      </c>
      <c r="N30" s="184">
        <f>(($M30-$E30)/((1+'MM_ES-1. Executive Summary'!$F$12)^$A30))+($E30/(1+'MM_ES-1. Executive Summary'!$F$13)^$A30)</f>
        <v>6549581.7867908031</v>
      </c>
      <c r="O30" s="185">
        <f>$M30/((1+'MM_ES-1. Executive Summary'!$F$13)^$A30)</f>
        <v>13476163.737531677</v>
      </c>
    </row>
    <row r="31" spans="1:24">
      <c r="A31" s="112">
        <f t="shared" si="2"/>
        <v>20</v>
      </c>
      <c r="B31" s="112">
        <f t="shared" si="1"/>
        <v>2042</v>
      </c>
      <c r="C31" s="180">
        <f>'MM_1B. Safety Backup'!G35</f>
        <v>596682</v>
      </c>
      <c r="D31" s="181">
        <f>SUM('MM_2B. Emissions Backup'!C201:E201)</f>
        <v>176346.70383124554</v>
      </c>
      <c r="E31" s="181">
        <f>'MM_2B. Emissions Backup'!F201</f>
        <v>56815.165637158148</v>
      </c>
      <c r="F31" s="181">
        <f>'MM_3D. TTS Backup All Years'!G111</f>
        <v>24267119.201427691</v>
      </c>
      <c r="G31" s="182">
        <f>Table4.1_ForegoneSummary[[#Totals],[Annual Average]]</f>
        <v>0</v>
      </c>
      <c r="H31" s="181">
        <v>0</v>
      </c>
      <c r="I31" s="181">
        <f>Table4.1_ForegoneSummary63[[#Totals],[Annual Benefit]]</f>
        <v>0</v>
      </c>
      <c r="J31" s="181">
        <f>Table4.1_ForegoneSummary6365[[#Totals],[Annual Benefit]]</f>
        <v>0</v>
      </c>
      <c r="K31" s="181">
        <f>Table70[[#Totals],[Annual Benefits]]</f>
        <v>0</v>
      </c>
      <c r="L31" s="181">
        <f>Table71[[#Totals],[Annual Benefit]]</f>
        <v>0</v>
      </c>
      <c r="M31" s="183">
        <f t="shared" si="0"/>
        <v>25096963.070896093</v>
      </c>
      <c r="N31" s="184">
        <f>(($M31-$E31)/((1+'MM_ES-1. Executive Summary'!$F$12)^$A31))+($E31/(1+'MM_ES-1. Executive Summary'!$F$13)^$A31)</f>
        <v>6502307.2316721724</v>
      </c>
      <c r="O31" s="185">
        <f>$M31/((1+'MM_ES-1. Executive Summary'!$F$13)^$A31)</f>
        <v>13895579.956064992</v>
      </c>
    </row>
    <row r="32" spans="1:24">
      <c r="A32" s="112">
        <f t="shared" si="2"/>
        <v>21</v>
      </c>
      <c r="B32" s="112">
        <f t="shared" si="1"/>
        <v>2043</v>
      </c>
      <c r="C32" s="180">
        <f>'MM_1B. Safety Backup'!G36</f>
        <v>596682</v>
      </c>
      <c r="D32" s="181">
        <f>SUM('MM_2B. Emissions Backup'!C202:E202)</f>
        <v>187711.92017343256</v>
      </c>
      <c r="E32" s="181">
        <f>'MM_2B. Emissions Backup'!F202</f>
        <v>60726.271733505484</v>
      </c>
      <c r="F32" s="181">
        <f>'MM_3D. TTS Backup All Years'!G112</f>
        <v>25718271.263865341</v>
      </c>
      <c r="G32" s="182">
        <f>Table4.1_ForegoneSummary[[#Totals],[Annual Average]]</f>
        <v>0</v>
      </c>
      <c r="H32" s="181">
        <v>0</v>
      </c>
      <c r="I32" s="181">
        <f>Table4.1_ForegoneSummary63[[#Totals],[Annual Benefit]]</f>
        <v>0</v>
      </c>
      <c r="J32" s="181">
        <f>Table4.1_ForegoneSummary6365[[#Totals],[Annual Benefit]]</f>
        <v>0</v>
      </c>
      <c r="K32" s="181">
        <f>Table70[[#Totals],[Annual Benefits]]</f>
        <v>0</v>
      </c>
      <c r="L32" s="181">
        <f>Table71[[#Totals],[Annual Benefit]]</f>
        <v>0</v>
      </c>
      <c r="M32" s="183">
        <f t="shared" si="0"/>
        <v>26563391.455772277</v>
      </c>
      <c r="N32" s="184">
        <f>(($M32-$E32)/((1+'MM_ES-1. Executive Summary'!$F$12)^$A32))+($E32/(1+'MM_ES-1. Executive Summary'!$F$13)^$A32)</f>
        <v>6433383.8388841758</v>
      </c>
      <c r="O32" s="185">
        <f>$M32/((1+'MM_ES-1. Executive Summary'!$F$13)^$A32)</f>
        <v>14279131.842739383</v>
      </c>
    </row>
    <row r="33" spans="1:15">
      <c r="A33" s="112">
        <f t="shared" si="2"/>
        <v>22</v>
      </c>
      <c r="B33" s="112">
        <f t="shared" si="1"/>
        <v>2044</v>
      </c>
      <c r="C33" s="180">
        <f>'MM_1B. Safety Backup'!G37</f>
        <v>596682</v>
      </c>
      <c r="D33" s="181">
        <f>SUM('MM_2B. Emissions Backup'!C203:E203)</f>
        <v>199077.13651561958</v>
      </c>
      <c r="E33" s="181">
        <f>'MM_2B. Emissions Backup'!F203</f>
        <v>64637.37782985282</v>
      </c>
      <c r="F33" s="181">
        <f>'MM_3D. TTS Backup All Years'!G113</f>
        <v>27169423.326302983</v>
      </c>
      <c r="G33" s="182">
        <f>Table4.1_ForegoneSummary[[#Totals],[Annual Average]]</f>
        <v>0</v>
      </c>
      <c r="H33" s="181">
        <v>0</v>
      </c>
      <c r="I33" s="181">
        <f>Table4.1_ForegoneSummary63[[#Totals],[Annual Benefit]]</f>
        <v>0</v>
      </c>
      <c r="J33" s="181">
        <f>Table4.1_ForegoneSummary6365[[#Totals],[Annual Benefit]]</f>
        <v>0</v>
      </c>
      <c r="K33" s="181">
        <f>Table70[[#Totals],[Annual Benefits]]</f>
        <v>0</v>
      </c>
      <c r="L33" s="181">
        <f>Table71[[#Totals],[Annual Benefit]]</f>
        <v>0</v>
      </c>
      <c r="M33" s="183">
        <f t="shared" si="0"/>
        <v>28029819.840648454</v>
      </c>
      <c r="N33" s="184">
        <f>(($M33-$E33)/((1+'MM_ES-1. Executive Summary'!$F$12)^$A33))+($E33/(1+'MM_ES-1. Executive Summary'!$F$13)^$A33)</f>
        <v>6345843.6112677054</v>
      </c>
      <c r="O33" s="185">
        <f>$M33/((1+'MM_ES-1. Executive Summary'!$F$13)^$A33)</f>
        <v>14628552.775924336</v>
      </c>
    </row>
    <row r="34" spans="1:15">
      <c r="A34" s="112">
        <f t="shared" si="2"/>
        <v>23</v>
      </c>
      <c r="B34" s="112">
        <f t="shared" si="1"/>
        <v>2045</v>
      </c>
      <c r="C34" s="180">
        <f>'MM_1B. Safety Backup'!G38</f>
        <v>596682</v>
      </c>
      <c r="D34" s="181">
        <f>SUM('MM_2B. Emissions Backup'!C204:E204)</f>
        <v>210442.3528578066</v>
      </c>
      <c r="E34" s="181">
        <f>'MM_2B. Emissions Backup'!F204</f>
        <v>68548.483926200162</v>
      </c>
      <c r="F34" s="181">
        <f>'MM_3D. TTS Backup All Years'!G114</f>
        <v>28620575.38874064</v>
      </c>
      <c r="G34" s="182">
        <f>Table4.1_ForegoneSummary[[#Totals],[Annual Average]]</f>
        <v>0</v>
      </c>
      <c r="H34" s="181">
        <v>0</v>
      </c>
      <c r="I34" s="181">
        <f>Table4.1_ForegoneSummary63[[#Totals],[Annual Benefit]]</f>
        <v>0</v>
      </c>
      <c r="J34" s="181">
        <f>Table4.1_ForegoneSummary6365[[#Totals],[Annual Benefit]]</f>
        <v>0</v>
      </c>
      <c r="K34" s="181">
        <f>Table70[[#Totals],[Annual Benefits]]</f>
        <v>0</v>
      </c>
      <c r="L34" s="181">
        <f>Table71[[#Totals],[Annual Benefit]]</f>
        <v>0</v>
      </c>
      <c r="M34" s="183">
        <f t="shared" si="0"/>
        <v>29496248.225524645</v>
      </c>
      <c r="N34" s="184">
        <f>(($M34-$E34)/((1+'MM_ES-1. Executive Summary'!$F$12)^$A34))+($E34/(1+'MM_ES-1. Executive Summary'!$F$13)^$A34)</f>
        <v>6242414.4956816668</v>
      </c>
      <c r="O34" s="185">
        <f>$M34/((1+'MM_ES-1. Executive Summary'!$F$13)^$A34)</f>
        <v>14945505.585507361</v>
      </c>
    </row>
    <row r="35" spans="1:15">
      <c r="A35" s="112">
        <f t="shared" si="2"/>
        <v>24</v>
      </c>
      <c r="B35" s="112">
        <f t="shared" si="1"/>
        <v>2046</v>
      </c>
      <c r="C35" s="180">
        <f>'MM_1B. Safety Backup'!G39</f>
        <v>596682</v>
      </c>
      <c r="D35" s="181">
        <f>SUM('MM_2B. Emissions Backup'!C205:E205)</f>
        <v>221807.56919999362</v>
      </c>
      <c r="E35" s="181">
        <f>'MM_2B. Emissions Backup'!F205</f>
        <v>72459.590022547505</v>
      </c>
      <c r="F35" s="181">
        <f>'MM_3D. TTS Backup All Years'!G115</f>
        <v>30071727.451178282</v>
      </c>
      <c r="G35" s="182">
        <f>Table4.1_ForegoneSummary[[#Totals],[Annual Average]]</f>
        <v>0</v>
      </c>
      <c r="H35" s="181">
        <v>0</v>
      </c>
      <c r="I35" s="181">
        <f>Table4.1_ForegoneSummary63[[#Totals],[Annual Benefit]]</f>
        <v>0</v>
      </c>
      <c r="J35" s="181">
        <f>Table4.1_ForegoneSummary6365[[#Totals],[Annual Benefit]]</f>
        <v>0</v>
      </c>
      <c r="K35" s="181">
        <f>Table70[[#Totals],[Annual Benefits]]</f>
        <v>0</v>
      </c>
      <c r="L35" s="181">
        <f>Table71[[#Totals],[Annual Benefit]]</f>
        <v>0</v>
      </c>
      <c r="M35" s="183">
        <f t="shared" si="0"/>
        <v>30962676.610400822</v>
      </c>
      <c r="N35" s="184">
        <f>(($M35-$E35)/((1+'MM_ES-1. Executive Summary'!$F$12)^$A35))+($E35/(1+'MM_ES-1. Executive Summary'!$F$13)^$A35)</f>
        <v>6125547.191905777</v>
      </c>
      <c r="O35" s="185">
        <f>$M35/((1+'MM_ES-1. Executive Summary'!$F$13)^$A35)</f>
        <v>15231585.192026414</v>
      </c>
    </row>
    <row r="36" spans="1:15">
      <c r="A36" s="112">
        <f t="shared" si="2"/>
        <v>25</v>
      </c>
      <c r="B36" s="112">
        <f t="shared" si="1"/>
        <v>2047</v>
      </c>
      <c r="C36" s="180">
        <f>'MM_1B. Safety Backup'!G40</f>
        <v>596682</v>
      </c>
      <c r="D36" s="181">
        <f>SUM('MM_2B. Emissions Backup'!C206:E206)</f>
        <v>233172.78554218065</v>
      </c>
      <c r="E36" s="181">
        <f>'MM_2B. Emissions Backup'!F206</f>
        <v>76370.696118894848</v>
      </c>
      <c r="F36" s="181">
        <f>'MM_3D. TTS Backup All Years'!G116</f>
        <v>31522879.513615929</v>
      </c>
      <c r="G36" s="182">
        <f>Table4.1_ForegoneSummary[[#Totals],[Annual Average]]</f>
        <v>0</v>
      </c>
      <c r="H36" s="181">
        <v>0</v>
      </c>
      <c r="I36" s="181">
        <f>Table4.1_ForegoneSummary63[[#Totals],[Annual Benefit]]</f>
        <v>0</v>
      </c>
      <c r="J36" s="181">
        <f>Table4.1_ForegoneSummary6365[[#Totals],[Annual Benefit]]</f>
        <v>0</v>
      </c>
      <c r="K36" s="181">
        <f>Table70[[#Totals],[Annual Benefits]]</f>
        <v>0</v>
      </c>
      <c r="L36" s="181">
        <f>Table71[[#Totals],[Annual Benefit]]</f>
        <v>0</v>
      </c>
      <c r="M36" s="183">
        <f t="shared" si="0"/>
        <v>32429104.995277002</v>
      </c>
      <c r="N36" s="184">
        <f>(($M36-$E36)/((1+'MM_ES-1. Executive Summary'!$F$12)^$A36))+($E36/(1+'MM_ES-1. Executive Summary'!$F$13)^$A36)</f>
        <v>5997439.7550102053</v>
      </c>
      <c r="O36" s="185">
        <f>$M36/((1+'MM_ES-1. Executive Summary'!$F$13)^$A36)</f>
        <v>15488321.151915403</v>
      </c>
    </row>
    <row r="37" spans="1:15">
      <c r="A37" s="112">
        <f t="shared" si="2"/>
        <v>26</v>
      </c>
      <c r="B37" s="112">
        <f t="shared" si="1"/>
        <v>2048</v>
      </c>
      <c r="C37" s="180">
        <f>'MM_1B. Safety Backup'!G41</f>
        <v>596682</v>
      </c>
      <c r="D37" s="181">
        <f>SUM('MM_2B. Emissions Backup'!C207:E207)</f>
        <v>244538.00188436767</v>
      </c>
      <c r="E37" s="181">
        <f>'MM_2B. Emissions Backup'!F207</f>
        <v>80281.802215242191</v>
      </c>
      <c r="F37" s="181">
        <f>'MM_3D. TTS Backup All Years'!G117</f>
        <v>32974031.576053597</v>
      </c>
      <c r="G37" s="182">
        <f>Table4.1_ForegoneSummary[[#Totals],[Annual Average]]</f>
        <v>0</v>
      </c>
      <c r="H37" s="181">
        <v>0</v>
      </c>
      <c r="I37" s="181">
        <f>Table4.1_ForegoneSummary63[[#Totals],[Annual Benefit]]</f>
        <v>0</v>
      </c>
      <c r="J37" s="181">
        <f>Table4.1_ForegoneSummary6365[[#Totals],[Annual Benefit]]</f>
        <v>0</v>
      </c>
      <c r="K37" s="181">
        <f>Table70[[#Totals],[Annual Benefits]]</f>
        <v>0</v>
      </c>
      <c r="L37" s="181">
        <f>Table71[[#Totals],[Annual Benefit]]</f>
        <v>0</v>
      </c>
      <c r="M37" s="183">
        <f t="shared" si="0"/>
        <v>33895533.380153209</v>
      </c>
      <c r="N37" s="184">
        <f>(($M37-$E37)/((1+'MM_ES-1. Executive Summary'!$F$12)^$A37))+($E37/(1+'MM_ES-1. Executive Summary'!$F$13)^$A37)</f>
        <v>5860060.1651653331</v>
      </c>
      <c r="O37" s="185">
        <f>$M37/((1+'MM_ES-1. Executive Summary'!$F$13)^$A37)</f>
        <v>15717180.112092871</v>
      </c>
    </row>
    <row r="38" spans="1:15">
      <c r="A38" s="112">
        <f t="shared" si="2"/>
        <v>27</v>
      </c>
      <c r="B38" s="112">
        <f t="shared" si="1"/>
        <v>2049</v>
      </c>
      <c r="C38" s="180">
        <f>'MM_1B. Safety Backup'!G42</f>
        <v>596682</v>
      </c>
      <c r="D38" s="181">
        <f>SUM('MM_2B. Emissions Backup'!C208:E208)</f>
        <v>255903.21822655469</v>
      </c>
      <c r="E38" s="181">
        <f>'MM_2B. Emissions Backup'!F208</f>
        <v>84192.908311589534</v>
      </c>
      <c r="F38" s="181">
        <f>'MM_3D. TTS Backup All Years'!G118</f>
        <v>34425183.638491243</v>
      </c>
      <c r="G38" s="182">
        <f>Table4.1_ForegoneSummary[[#Totals],[Annual Average]]</f>
        <v>0</v>
      </c>
      <c r="H38" s="181">
        <v>0</v>
      </c>
      <c r="I38" s="181">
        <f>Table4.1_ForegoneSummary63[[#Totals],[Annual Benefit]]</f>
        <v>0</v>
      </c>
      <c r="J38" s="181">
        <f>Table4.1_ForegoneSummary6365[[#Totals],[Annual Benefit]]</f>
        <v>0</v>
      </c>
      <c r="K38" s="181">
        <f>Table70[[#Totals],[Annual Benefits]]</f>
        <v>0</v>
      </c>
      <c r="L38" s="181">
        <f>Table71[[#Totals],[Annual Benefit]]</f>
        <v>0</v>
      </c>
      <c r="M38" s="183">
        <f t="shared" si="0"/>
        <v>35361961.765029386</v>
      </c>
      <c r="N38" s="184">
        <f>(($M38-$E38)/((1+'MM_ES-1. Executive Summary'!$F$12)^$A38))+($E38/(1+'MM_ES-1. Executive Summary'!$F$13)^$A38)</f>
        <v>5715167.0255455133</v>
      </c>
      <c r="O38" s="185">
        <f>$M38/((1+'MM_ES-1. Executive Summary'!$F$13)^$A38)</f>
        <v>15919568.177015649</v>
      </c>
    </row>
    <row r="39" spans="1:15">
      <c r="A39" s="112">
        <f t="shared" si="2"/>
        <v>28</v>
      </c>
      <c r="B39" s="112">
        <f t="shared" si="1"/>
        <v>2050</v>
      </c>
      <c r="C39" s="180">
        <f>'MM_1B. Safety Backup'!G43</f>
        <v>596682</v>
      </c>
      <c r="D39" s="181">
        <f>SUM('MM_2B. Emissions Backup'!C209:E209)</f>
        <v>267268.43456874171</v>
      </c>
      <c r="E39" s="181">
        <f>'MM_2B. Emissions Backup'!F209</f>
        <v>88104.014407936877</v>
      </c>
      <c r="F39" s="181">
        <f>'MM_3D. TTS Backup All Years'!G119</f>
        <v>35876335.700928889</v>
      </c>
      <c r="G39" s="182">
        <f>Table4.1_ForegoneSummary[[#Totals],[Annual Average]]</f>
        <v>0</v>
      </c>
      <c r="H39" s="181">
        <v>0</v>
      </c>
      <c r="I39" s="181">
        <f>Table4.1_ForegoneSummary63[[#Totals],[Annual Benefit]]</f>
        <v>0</v>
      </c>
      <c r="J39" s="181">
        <f>Table4.1_ForegoneSummary6365[[#Totals],[Annual Benefit]]</f>
        <v>0</v>
      </c>
      <c r="K39" s="181">
        <f>Table70[[#Totals],[Annual Benefits]]</f>
        <v>0</v>
      </c>
      <c r="L39" s="181">
        <f>Table71[[#Totals],[Annual Benefit]]</f>
        <v>0</v>
      </c>
      <c r="M39" s="183">
        <f t="shared" si="0"/>
        <v>36828390.14990557</v>
      </c>
      <c r="N39" s="184">
        <f>(($M39-$E39)/((1+'MM_ES-1. Executive Summary'!$F$12)^$A39))+($E39/(1+'MM_ES-1. Executive Summary'!$F$13)^$A39)</f>
        <v>5564328.5366594493</v>
      </c>
      <c r="O39" s="185">
        <f>$M39/((1+'MM_ES-1. Executive Summary'!$F$13)^$A39)</f>
        <v>16096833.191214411</v>
      </c>
    </row>
    <row r="40" spans="1:15">
      <c r="A40" s="112">
        <f t="shared" si="2"/>
        <v>29</v>
      </c>
      <c r="B40" s="112">
        <f t="shared" si="1"/>
        <v>2051</v>
      </c>
      <c r="C40" s="180">
        <f>'MM_1B. Safety Backup'!G44</f>
        <v>596682</v>
      </c>
      <c r="D40" s="181">
        <f>SUM('MM_2B. Emissions Backup'!C210:E210)</f>
        <v>278633.65091092873</v>
      </c>
      <c r="E40" s="181">
        <f>'MM_2B. Emissions Backup'!F210</f>
        <v>92015.120504284219</v>
      </c>
      <c r="F40" s="181">
        <f>'MM_3D. TTS Backup All Years'!G120</f>
        <v>37327487.763366528</v>
      </c>
      <c r="G40" s="182">
        <f>Table4.1_ForegoneSummary[[#Totals],[Annual Average]]</f>
        <v>0</v>
      </c>
      <c r="H40" s="181">
        <v>0</v>
      </c>
      <c r="I40" s="181">
        <f>Table4.1_ForegoneSummary63[[#Totals],[Annual Benefit]]</f>
        <v>0</v>
      </c>
      <c r="J40" s="181">
        <f>Table4.1_ForegoneSummary6365[[#Totals],[Annual Benefit]]</f>
        <v>0</v>
      </c>
      <c r="K40" s="181">
        <f>Table70[[#Totals],[Annual Benefits]]</f>
        <v>0</v>
      </c>
      <c r="L40" s="181">
        <f>Table71[[#Totals],[Annual Benefit]]</f>
        <v>0</v>
      </c>
      <c r="M40" s="183">
        <f t="shared" si="0"/>
        <v>38294818.534781739</v>
      </c>
      <c r="N40" s="184">
        <f>(($M40-$E40)/((1+'MM_ES-1. Executive Summary'!$F$12)^$A40))+($E40/(1+'MM_ES-1. Executive Summary'!$F$13)^$A40)</f>
        <v>5408939.8840428665</v>
      </c>
      <c r="O40" s="185">
        <f>$M40/((1+'MM_ES-1. Executive Summary'!$F$13)^$A40)</f>
        <v>16250266.940226251</v>
      </c>
    </row>
    <row r="41" spans="1:15">
      <c r="A41" s="112">
        <f t="shared" si="2"/>
        <v>30</v>
      </c>
      <c r="B41" s="112">
        <f t="shared" si="1"/>
        <v>2052</v>
      </c>
      <c r="C41" s="180">
        <f>'MM_1B. Safety Backup'!G45</f>
        <v>596682</v>
      </c>
      <c r="D41" s="181">
        <f>SUM('MM_2B. Emissions Backup'!C211:E211)</f>
        <v>289998.86725311575</v>
      </c>
      <c r="E41" s="181">
        <f>'MM_2B. Emissions Backup'!F211</f>
        <v>95926.226600631562</v>
      </c>
      <c r="F41" s="181">
        <f>'MM_3D. TTS Backup All Years'!G121</f>
        <v>38778639.825804181</v>
      </c>
      <c r="G41" s="182">
        <f>Table4.1_ForegoneSummary[[#Totals],[Annual Average]]</f>
        <v>0</v>
      </c>
      <c r="H41" s="181">
        <v>0</v>
      </c>
      <c r="I41" s="181">
        <f>Table4.1_ForegoneSummary63[[#Totals],[Annual Benefit]]</f>
        <v>0</v>
      </c>
      <c r="J41" s="181">
        <f>Table4.1_ForegoneSummary6365[[#Totals],[Annual Benefit]]</f>
        <v>0</v>
      </c>
      <c r="K41" s="181">
        <f>Table70[[#Totals],[Annual Benefits]]</f>
        <v>0</v>
      </c>
      <c r="L41" s="181">
        <f>Table71[[#Totals],[Annual Benefit]]</f>
        <v>0</v>
      </c>
      <c r="M41" s="183">
        <f t="shared" si="0"/>
        <v>39761246.919657931</v>
      </c>
      <c r="N41" s="184">
        <f>(($M41-$E41)/((1+'MM_ES-1. Executive Summary'!$F$12)^$A41))+($E41/(1+'MM_ES-1. Executive Summary'!$F$13)^$A41)</f>
        <v>5250239.1657090159</v>
      </c>
      <c r="O41" s="185">
        <f>$M41/((1+'MM_ES-1. Executive Summary'!$F$13)^$A41)</f>
        <v>16381107.272741707</v>
      </c>
    </row>
    <row r="42" spans="1:15">
      <c r="A42" s="112">
        <f t="shared" si="2"/>
        <v>31</v>
      </c>
      <c r="B42" s="112">
        <f t="shared" si="1"/>
        <v>2053</v>
      </c>
      <c r="C42" s="180">
        <f>'MM_1B. Safety Backup'!G46</f>
        <v>596682</v>
      </c>
      <c r="D42" s="181">
        <f>SUM('MM_2B. Emissions Backup'!C212:E212)</f>
        <v>301364.08359530277</v>
      </c>
      <c r="E42" s="181">
        <f>'MM_2B. Emissions Backup'!F212</f>
        <v>99837.332696978905</v>
      </c>
      <c r="F42" s="181">
        <f>'MM_3D. TTS Backup All Years'!G122</f>
        <v>40229791.888241835</v>
      </c>
      <c r="G42" s="182">
        <f>Table4.1_ForegoneSummary[[#Totals],[Annual Average]]</f>
        <v>0</v>
      </c>
      <c r="H42" s="181">
        <v>0</v>
      </c>
      <c r="I42" s="181">
        <f>Table4.1_ForegoneSummary63[[#Totals],[Annual Benefit]]</f>
        <v>0</v>
      </c>
      <c r="J42" s="181">
        <f>Table4.1_ForegoneSummary6365[[#Totals],[Annual Benefit]]</f>
        <v>0</v>
      </c>
      <c r="K42" s="181">
        <f>Table70[[#Totals],[Annual Benefits]]</f>
        <v>0</v>
      </c>
      <c r="L42" s="181">
        <f>Table71[[#Totals],[Annual Benefit]]</f>
        <v>0</v>
      </c>
      <c r="M42" s="183">
        <f t="shared" si="0"/>
        <v>41227675.304534115</v>
      </c>
      <c r="N42" s="184">
        <f>(($M42-$E42)/((1+'MM_ES-1. Executive Summary'!$F$12)^$A42))+($E42/(1+'MM_ES-1. Executive Summary'!$F$13)^$A42)</f>
        <v>5089321.976004947</v>
      </c>
      <c r="O42" s="185">
        <f>$M42/((1+'MM_ES-1. Executive Summary'!$F$13)^$A42)</f>
        <v>16490540.146688338</v>
      </c>
    </row>
    <row r="43" spans="1:15">
      <c r="A43" s="112">
        <f t="shared" si="2"/>
        <v>32</v>
      </c>
      <c r="B43" s="112">
        <f t="shared" si="1"/>
        <v>2054</v>
      </c>
      <c r="C43" s="180">
        <f>'MM_1B. Safety Backup'!G47</f>
        <v>596682</v>
      </c>
      <c r="D43" s="181">
        <f>SUM('MM_2B. Emissions Backup'!C213:E213)</f>
        <v>312729.29993748979</v>
      </c>
      <c r="E43" s="181">
        <f>'MM_2B. Emissions Backup'!F213</f>
        <v>103748.43879332625</v>
      </c>
      <c r="F43" s="181">
        <f>'MM_3D. TTS Backup All Years'!G123</f>
        <v>41680943.950679488</v>
      </c>
      <c r="G43" s="182">
        <f>Table4.1_ForegoneSummary[[#Totals],[Annual Average]]</f>
        <v>0</v>
      </c>
      <c r="H43" s="181">
        <v>0</v>
      </c>
      <c r="I43" s="181">
        <f>Table4.1_ForegoneSummary63[[#Totals],[Annual Benefit]]</f>
        <v>0</v>
      </c>
      <c r="J43" s="181">
        <f>Table4.1_ForegoneSummary6365[[#Totals],[Annual Benefit]]</f>
        <v>0</v>
      </c>
      <c r="K43" s="181">
        <f>Table70[[#Totals],[Annual Benefits]]</f>
        <v>0</v>
      </c>
      <c r="L43" s="181">
        <f>Table71[[#Totals],[Annual Benefit]]</f>
        <v>0</v>
      </c>
      <c r="M43" s="183">
        <f t="shared" si="0"/>
        <v>42694103.689410307</v>
      </c>
      <c r="N43" s="184">
        <f>(($M43-$E43)/((1+'MM_ES-1. Executive Summary'!$F$12)^$A43))+($E43/(1+'MM_ES-1. Executive Summary'!$F$13)^$A43)</f>
        <v>4927154.7535087373</v>
      </c>
      <c r="O43" s="185">
        <f>$M43/((1+'MM_ES-1. Executive Summary'!$F$13)^$A43)</f>
        <v>16579701.601881685</v>
      </c>
    </row>
    <row r="44" spans="1:15">
      <c r="A44" s="112">
        <f t="shared" si="2"/>
        <v>33</v>
      </c>
      <c r="B44" s="112">
        <f t="shared" si="1"/>
        <v>2055</v>
      </c>
      <c r="C44" s="180">
        <f>'MM_1B. Safety Backup'!G48</f>
        <v>596682</v>
      </c>
      <c r="D44" s="181">
        <f>SUM('MM_2B. Emissions Backup'!C214:E214)</f>
        <v>324094.51627967687</v>
      </c>
      <c r="E44" s="181">
        <f>'MM_2B. Emissions Backup'!F214</f>
        <v>107659.54488967359</v>
      </c>
      <c r="F44" s="181">
        <f>'MM_3D. TTS Backup All Years'!G124</f>
        <v>43132096.013117142</v>
      </c>
      <c r="G44" s="182">
        <f>Table4.1_ForegoneSummary[[#Totals],[Annual Average]]</f>
        <v>0</v>
      </c>
      <c r="H44" s="181">
        <v>0</v>
      </c>
      <c r="I44" s="181">
        <f>Table4.1_ForegoneSummary63[[#Totals],[Annual Benefit]]</f>
        <v>0</v>
      </c>
      <c r="J44" s="181">
        <f>Table4.1_ForegoneSummary6365[[#Totals],[Annual Benefit]]</f>
        <v>0</v>
      </c>
      <c r="K44" s="181">
        <f>Table70[[#Totals],[Annual Benefits]]</f>
        <v>0</v>
      </c>
      <c r="L44" s="181">
        <f>Table71[[#Totals],[Annual Benefit]]</f>
        <v>0</v>
      </c>
      <c r="M44" s="183">
        <f t="shared" si="0"/>
        <v>44160532.074286491</v>
      </c>
      <c r="N44" s="184">
        <f>(($M44-$E44)/((1+'MM_ES-1. Executive Summary'!$F$12)^$A44))+($E44/(1+'MM_ES-1. Executive Summary'!$F$13)^$A44)</f>
        <v>4764586.9922698028</v>
      </c>
      <c r="O44" s="185">
        <f>$M44/((1+'MM_ES-1. Executive Summary'!$F$13)^$A44)</f>
        <v>16649679.661785206</v>
      </c>
    </row>
    <row r="45" spans="1:15">
      <c r="A45" s="112">
        <f t="shared" si="2"/>
        <v>34</v>
      </c>
      <c r="B45" s="112">
        <f t="shared" si="1"/>
        <v>2056</v>
      </c>
      <c r="C45" s="180">
        <f>'MM_1B. Safety Backup'!G49</f>
        <v>596682</v>
      </c>
      <c r="D45" s="181">
        <f>SUM('MM_2B. Emissions Backup'!C215:E215)</f>
        <v>335459.73262186395</v>
      </c>
      <c r="E45" s="181">
        <f>'MM_2B. Emissions Backup'!F215</f>
        <v>111570.65098602093</v>
      </c>
      <c r="F45" s="181">
        <f>'MM_3D. TTS Backup All Years'!G125</f>
        <v>44583248.075554781</v>
      </c>
      <c r="G45" s="182">
        <f>Table4.1_ForegoneSummary[[#Totals],[Annual Average]]</f>
        <v>0</v>
      </c>
      <c r="H45" s="181">
        <v>0</v>
      </c>
      <c r="I45" s="181">
        <f>Table4.1_ForegoneSummary63[[#Totals],[Annual Benefit]]</f>
        <v>0</v>
      </c>
      <c r="J45" s="181">
        <f>Table4.1_ForegoneSummary6365[[#Totals],[Annual Benefit]]</f>
        <v>0</v>
      </c>
      <c r="K45" s="181">
        <f>Table70[[#Totals],[Annual Benefits]]</f>
        <v>0</v>
      </c>
      <c r="L45" s="181">
        <f>Table71[[#Totals],[Annual Benefit]]</f>
        <v>0</v>
      </c>
      <c r="M45" s="183">
        <f t="shared" si="0"/>
        <v>45626960.459162667</v>
      </c>
      <c r="N45" s="184">
        <f>(($M45-$E45)/((1+'MM_ES-1. Executive Summary'!$F$12)^$A45))+($E45/(1+'MM_ES-1. Executive Summary'!$F$13)^$A45)</f>
        <v>4602362.4079912771</v>
      </c>
      <c r="O45" s="185">
        <f>$M45/((1+'MM_ES-1. Executive Summary'!$F$13)^$A45)</f>
        <v>16701516.166835554</v>
      </c>
    </row>
    <row r="46" spans="1:15">
      <c r="A46" s="112">
        <f t="shared" si="2"/>
        <v>35</v>
      </c>
      <c r="B46" s="112">
        <f t="shared" si="1"/>
        <v>2057</v>
      </c>
      <c r="C46" s="180">
        <f>'MM_1B. Safety Backup'!G50</f>
        <v>596682</v>
      </c>
      <c r="D46" s="181">
        <f>SUM('MM_2B. Emissions Backup'!C216:E216)</f>
        <v>346824.94896405097</v>
      </c>
      <c r="E46" s="181">
        <f>'MM_2B. Emissions Backup'!F216</f>
        <v>115481.75708236828</v>
      </c>
      <c r="F46" s="181">
        <f>'MM_3D. TTS Backup All Years'!G126</f>
        <v>46034400.137992434</v>
      </c>
      <c r="G46" s="182">
        <f>Table4.1_ForegoneSummary[[#Totals],[Annual Average]]</f>
        <v>0</v>
      </c>
      <c r="H46" s="181">
        <v>0</v>
      </c>
      <c r="I46" s="181">
        <f>Table4.1_ForegoneSummary63[[#Totals],[Annual Benefit]]</f>
        <v>0</v>
      </c>
      <c r="J46" s="181">
        <f>Table4.1_ForegoneSummary6365[[#Totals],[Annual Benefit]]</f>
        <v>0</v>
      </c>
      <c r="K46" s="181">
        <f>Table70[[#Totals],[Annual Benefits]]</f>
        <v>0</v>
      </c>
      <c r="L46" s="181">
        <f>Table71[[#Totals],[Annual Benefit]]</f>
        <v>0</v>
      </c>
      <c r="M46" s="183">
        <f t="shared" si="0"/>
        <v>47093388.844038852</v>
      </c>
      <c r="N46" s="184">
        <f>(($M46-$E46)/((1+'MM_ES-1. Executive Summary'!$F$12)^$A46))+($E46/(1+'MM_ES-1. Executive Summary'!$F$13)^$A46)</f>
        <v>4441129.1436329745</v>
      </c>
      <c r="O46" s="185">
        <f>$M46/((1+'MM_ES-1. Executive Summary'!$F$13)^$A46)</f>
        <v>16736208.54170613</v>
      </c>
    </row>
    <row r="47" spans="1:15" ht="13.5" thickBot="1">
      <c r="A47" s="322">
        <f t="shared" si="2"/>
        <v>36</v>
      </c>
      <c r="B47" s="322">
        <f t="shared" si="1"/>
        <v>2058</v>
      </c>
      <c r="C47" s="323">
        <f>'MM_1B. Safety Backup'!G51</f>
        <v>596682</v>
      </c>
      <c r="D47" s="324">
        <f>SUM('MM_2B. Emissions Backup'!C217:E217)</f>
        <v>358190.16530623805</v>
      </c>
      <c r="E47" s="324">
        <f>'MM_2B. Emissions Backup'!F217</f>
        <v>119392.86317871558</v>
      </c>
      <c r="F47" s="324">
        <f>'MM_3D. TTS Backup All Years'!G127</f>
        <v>46034400.137992434</v>
      </c>
      <c r="G47" s="325">
        <f>Table4.1_ForegoneSummary[[#Totals],[Annual Average]]</f>
        <v>0</v>
      </c>
      <c r="H47" s="181">
        <v>0</v>
      </c>
      <c r="I47" s="324">
        <f>Table4.1_ForegoneSummary63[[#Totals],[Annual Benefit]]</f>
        <v>0</v>
      </c>
      <c r="J47" s="324">
        <f>Table4.1_ForegoneSummary6365[[#Totals],[Annual Benefit]]</f>
        <v>0</v>
      </c>
      <c r="K47" s="324">
        <f>Table70[[#Totals],[Annual Benefits]]</f>
        <v>0</v>
      </c>
      <c r="L47" s="324">
        <f>Table71[[#Totals],[Annual Benefit]]</f>
        <v>0</v>
      </c>
      <c r="M47" s="326">
        <f t="shared" si="0"/>
        <v>47108665.16647739</v>
      </c>
      <c r="N47" s="327">
        <f>(($M47-$E47)/((1+'MM_ES-1. Executive Summary'!$F$12)^$A47))+($E47/(1+'MM_ES-1. Executive Summary'!$F$13)^$A47)</f>
        <v>4154421.8333981312</v>
      </c>
      <c r="O47" s="328">
        <f>$M47/((1+'MM_ES-1. Executive Summary'!$F$13)^$A47)</f>
        <v>16254016.983573161</v>
      </c>
    </row>
    <row r="48" spans="1:15" ht="13.5" hidden="1" thickTop="1">
      <c r="A48" s="112">
        <f t="shared" si="2"/>
        <v>37</v>
      </c>
      <c r="B48" s="112" t="str">
        <f t="shared" si="1"/>
        <v/>
      </c>
      <c r="C48" s="180">
        <v>0</v>
      </c>
      <c r="D48" s="181">
        <v>0</v>
      </c>
      <c r="E48" s="181">
        <v>0</v>
      </c>
      <c r="F48" s="181">
        <v>0</v>
      </c>
      <c r="G48" s="182">
        <v>0</v>
      </c>
      <c r="H48" s="181"/>
      <c r="I48" s="181">
        <v>0</v>
      </c>
      <c r="J48" s="181"/>
      <c r="K48" s="181"/>
      <c r="L48" s="181"/>
      <c r="M48" s="183">
        <f t="shared" si="0"/>
        <v>0</v>
      </c>
      <c r="N48" s="184">
        <v>0</v>
      </c>
      <c r="O48" s="185">
        <v>0</v>
      </c>
    </row>
    <row r="49" spans="1:15" hidden="1">
      <c r="A49" s="112">
        <f t="shared" si="2"/>
        <v>38</v>
      </c>
      <c r="B49" s="112" t="str">
        <f t="shared" si="1"/>
        <v/>
      </c>
      <c r="C49" s="180">
        <v>0</v>
      </c>
      <c r="D49" s="181">
        <v>0</v>
      </c>
      <c r="E49" s="181">
        <v>0</v>
      </c>
      <c r="F49" s="181">
        <v>0</v>
      </c>
      <c r="G49" s="182">
        <v>0</v>
      </c>
      <c r="H49" s="181"/>
      <c r="I49" s="181">
        <v>0</v>
      </c>
      <c r="J49" s="181"/>
      <c r="K49" s="181"/>
      <c r="L49" s="181"/>
      <c r="M49" s="183">
        <f t="shared" si="0"/>
        <v>0</v>
      </c>
      <c r="N49" s="184">
        <v>0</v>
      </c>
      <c r="O49" s="185">
        <v>0</v>
      </c>
    </row>
    <row r="50" spans="1:15" hidden="1">
      <c r="A50" s="112">
        <f t="shared" si="2"/>
        <v>39</v>
      </c>
      <c r="B50" s="112" t="str">
        <f t="shared" si="1"/>
        <v/>
      </c>
      <c r="C50" s="180">
        <v>0</v>
      </c>
      <c r="D50" s="181">
        <v>0</v>
      </c>
      <c r="E50" s="181">
        <v>0</v>
      </c>
      <c r="F50" s="181">
        <v>0</v>
      </c>
      <c r="G50" s="182">
        <v>0</v>
      </c>
      <c r="H50" s="181"/>
      <c r="I50" s="181">
        <v>0</v>
      </c>
      <c r="J50" s="181"/>
      <c r="K50" s="181"/>
      <c r="L50" s="181"/>
      <c r="M50" s="183">
        <f t="shared" si="0"/>
        <v>0</v>
      </c>
      <c r="N50" s="184">
        <v>0</v>
      </c>
      <c r="O50" s="185">
        <v>0</v>
      </c>
    </row>
    <row r="51" spans="1:15" hidden="1">
      <c r="A51" s="112">
        <f t="shared" si="2"/>
        <v>40</v>
      </c>
      <c r="B51" s="112" t="str">
        <f t="shared" si="1"/>
        <v/>
      </c>
      <c r="C51" s="180">
        <v>0</v>
      </c>
      <c r="D51" s="181">
        <v>0</v>
      </c>
      <c r="E51" s="181">
        <v>0</v>
      </c>
      <c r="F51" s="181">
        <v>0</v>
      </c>
      <c r="G51" s="182">
        <v>0</v>
      </c>
      <c r="H51" s="181"/>
      <c r="I51" s="181">
        <v>0</v>
      </c>
      <c r="J51" s="181"/>
      <c r="K51" s="181"/>
      <c r="L51" s="181"/>
      <c r="M51" s="183">
        <f t="shared" si="0"/>
        <v>0</v>
      </c>
      <c r="N51" s="184">
        <v>0</v>
      </c>
      <c r="O51" s="185">
        <v>0</v>
      </c>
    </row>
    <row r="52" spans="1:15" ht="33" customHeight="1" thickTop="1">
      <c r="A52" s="461" t="s">
        <v>46</v>
      </c>
      <c r="B52" s="461"/>
      <c r="C52" s="195">
        <f>SUM(C12:C51)</f>
        <v>18497142</v>
      </c>
      <c r="D52" s="195">
        <f t="shared" ref="D52:L52" si="3">SUM(D12:D51)</f>
        <v>5816712.4943721937</v>
      </c>
      <c r="E52" s="195">
        <f t="shared" si="3"/>
        <v>1892140.0742109844</v>
      </c>
      <c r="F52" s="195">
        <f t="shared" si="3"/>
        <v>795815257.11738777</v>
      </c>
      <c r="G52" s="330">
        <f t="shared" si="3"/>
        <v>0</v>
      </c>
      <c r="H52" s="195">
        <f t="shared" si="3"/>
        <v>-1708070.0996010664</v>
      </c>
      <c r="I52" s="195">
        <f t="shared" si="3"/>
        <v>0</v>
      </c>
      <c r="J52" s="195">
        <f t="shared" si="3"/>
        <v>0</v>
      </c>
      <c r="K52" s="195">
        <f t="shared" si="3"/>
        <v>0</v>
      </c>
      <c r="L52" s="195">
        <f t="shared" si="3"/>
        <v>0</v>
      </c>
      <c r="M52" s="196">
        <f t="shared" ref="M52:O52" si="4">SUM(M12:M47)</f>
        <v>820313181.58636999</v>
      </c>
      <c r="N52" s="197">
        <f t="shared" si="4"/>
        <v>170246453.10240352</v>
      </c>
      <c r="O52" s="198">
        <f t="shared" si="4"/>
        <v>397274395.85294598</v>
      </c>
    </row>
    <row r="55" spans="1:15">
      <c r="A55" s="71" t="s">
        <v>47</v>
      </c>
    </row>
    <row r="56" spans="1:15">
      <c r="C56" s="462"/>
      <c r="D56" s="462"/>
      <c r="E56" s="462"/>
      <c r="F56" s="462"/>
      <c r="G56" s="462"/>
      <c r="H56" s="462"/>
      <c r="I56" s="462"/>
      <c r="J56" s="462"/>
    </row>
    <row r="57" spans="1:15" ht="38.25">
      <c r="A57" s="255" t="s">
        <v>32</v>
      </c>
      <c r="B57" s="255" t="s">
        <v>21</v>
      </c>
      <c r="C57" s="255" t="s">
        <v>48</v>
      </c>
      <c r="D57" s="255" t="s">
        <v>49</v>
      </c>
      <c r="E57" s="336" t="s">
        <v>50</v>
      </c>
      <c r="F57" s="334" t="s">
        <v>51</v>
      </c>
      <c r="G57" s="335" t="s">
        <v>52</v>
      </c>
      <c r="H57" s="89"/>
    </row>
    <row r="58" spans="1:15">
      <c r="A58" s="112">
        <v>1</v>
      </c>
      <c r="B58" s="112">
        <f>First_Year</f>
        <v>2023</v>
      </c>
      <c r="C58" s="186">
        <f>'MM_10. Future Eligible Costs'!G15</f>
        <v>700000</v>
      </c>
      <c r="D58" s="186"/>
      <c r="E58" s="187">
        <f t="shared" ref="E58:E97" si="5">SUM(C58:D58)</f>
        <v>700000</v>
      </c>
      <c r="F58" s="184">
        <f>$E58/((1+'MM_ES-1. Executive Summary'!$F$12)^$A12)</f>
        <v>654205.60747663549</v>
      </c>
      <c r="G58" s="185">
        <f>$E58/((1+'MM_ES-1. Executive Summary'!$F$13)^$A12)</f>
        <v>679611.6504854369</v>
      </c>
      <c r="H58" s="452"/>
    </row>
    <row r="59" spans="1:15">
      <c r="A59" s="112">
        <f>A58+1</f>
        <v>2</v>
      </c>
      <c r="B59" s="112">
        <f t="shared" ref="B59:B97" si="6">IFERROR(IF(B58+1&lt;Last_Year+1,B58+1,""),"")</f>
        <v>2024</v>
      </c>
      <c r="C59" s="186">
        <f>'MM_10. Future Eligible Costs'!G16</f>
        <v>5390000</v>
      </c>
      <c r="D59" s="186"/>
      <c r="E59" s="187">
        <f t="shared" si="5"/>
        <v>5390000</v>
      </c>
      <c r="F59" s="184">
        <f>$E59/((1+'MM_ES-1. Executive Summary'!$F$12)^$A13)</f>
        <v>4707834.7453926103</v>
      </c>
      <c r="G59" s="185">
        <f>$E59/((1+'MM_ES-1. Executive Summary'!$F$13)^$A13)</f>
        <v>5080591.9502309365</v>
      </c>
      <c r="H59" s="452"/>
    </row>
    <row r="60" spans="1:15">
      <c r="A60" s="112">
        <f t="shared" ref="A60:A97" si="7">A59+1</f>
        <v>3</v>
      </c>
      <c r="B60" s="112">
        <f t="shared" si="6"/>
        <v>2025</v>
      </c>
      <c r="C60" s="186">
        <f>'MM_10. Future Eligible Costs'!G17</f>
        <v>48500000</v>
      </c>
      <c r="D60" s="186"/>
      <c r="E60" s="187">
        <f t="shared" si="5"/>
        <v>48500000</v>
      </c>
      <c r="F60" s="184">
        <f>$E60/((1+'MM_ES-1. Executive Summary'!$F$12)^$A14)</f>
        <v>39590447.029206321</v>
      </c>
      <c r="G60" s="185">
        <f>$E60/((1+'MM_ES-1. Executive Summary'!$F$13)^$A14)</f>
        <v>44384370.478628241</v>
      </c>
      <c r="H60" s="452"/>
    </row>
    <row r="61" spans="1:15">
      <c r="A61" s="112">
        <f t="shared" si="7"/>
        <v>4</v>
      </c>
      <c r="B61" s="112">
        <f t="shared" si="6"/>
        <v>2026</v>
      </c>
      <c r="C61" s="186">
        <f>'MM_10. Future Eligible Costs'!G18</f>
        <v>18200000</v>
      </c>
      <c r="D61" s="186"/>
      <c r="E61" s="187">
        <f t="shared" si="5"/>
        <v>18200000</v>
      </c>
      <c r="F61" s="184">
        <f>$E61/((1+'MM_ES-1. Executive Summary'!$F$12)^$A15)</f>
        <v>13884692.859264959</v>
      </c>
      <c r="G61" s="185">
        <f>$E61/((1+'MM_ES-1. Executive Summary'!$F$13)^$A15)</f>
        <v>16170464.272065539</v>
      </c>
      <c r="H61" s="452"/>
    </row>
    <row r="62" spans="1:15">
      <c r="A62" s="113">
        <f t="shared" si="7"/>
        <v>5</v>
      </c>
      <c r="B62" s="113">
        <f t="shared" si="6"/>
        <v>2027</v>
      </c>
      <c r="C62" s="189">
        <f>'MM_10. Future Eligible Costs'!G19</f>
        <v>7400000</v>
      </c>
      <c r="D62" s="189"/>
      <c r="E62" s="194">
        <f t="shared" si="5"/>
        <v>7400000</v>
      </c>
      <c r="F62" s="192">
        <f>$E62/((1+'MM_ES-1. Executive Summary'!$F$12)^$A16)</f>
        <v>5276097.7281791456</v>
      </c>
      <c r="G62" s="193">
        <f>$E62/((1+'MM_ES-1. Executive Summary'!$F$13)^$A16)</f>
        <v>6383305.0044428147</v>
      </c>
      <c r="H62" s="452"/>
    </row>
    <row r="63" spans="1:15">
      <c r="A63" s="113">
        <f t="shared" si="7"/>
        <v>6</v>
      </c>
      <c r="B63" s="113">
        <f t="shared" si="6"/>
        <v>2028</v>
      </c>
      <c r="C63" s="189">
        <f>'MM_10. Future Eligible Costs'!G20</f>
        <v>10810000</v>
      </c>
      <c r="D63" s="189"/>
      <c r="E63" s="194">
        <f t="shared" si="5"/>
        <v>10810000</v>
      </c>
      <c r="F63" s="192">
        <f>$E63/((1+'MM_ES-1. Executive Summary'!$F$12)^$A17)</f>
        <v>7203159.4394565001</v>
      </c>
      <c r="G63" s="193">
        <f>$E63/((1+'MM_ES-1. Executive Summary'!$F$13)^$A17)</f>
        <v>9053204.8147503044</v>
      </c>
      <c r="H63" s="452"/>
    </row>
    <row r="64" spans="1:15">
      <c r="A64" s="112">
        <f t="shared" si="7"/>
        <v>7</v>
      </c>
      <c r="B64" s="112">
        <f t="shared" si="6"/>
        <v>2029</v>
      </c>
      <c r="C64" s="186">
        <v>0</v>
      </c>
      <c r="D64" s="186">
        <f>Table7382[[#Totals],[Cost Over 30 Years]]/30</f>
        <v>870833.33333333337</v>
      </c>
      <c r="E64" s="187">
        <f t="shared" si="5"/>
        <v>870833.33333333337</v>
      </c>
      <c r="F64" s="184">
        <f>$E64/((1+'MM_ES-1. Executive Summary'!$F$12)^$A18)</f>
        <v>542311.2335578315</v>
      </c>
      <c r="G64" s="185">
        <f>$E64/((1+'MM_ES-1. Executive Summary'!$F$13)^$A18)</f>
        <v>708067.19112817058</v>
      </c>
      <c r="H64" s="452"/>
    </row>
    <row r="65" spans="1:8">
      <c r="A65" s="112">
        <f t="shared" si="7"/>
        <v>8</v>
      </c>
      <c r="B65" s="112">
        <f t="shared" si="6"/>
        <v>2030</v>
      </c>
      <c r="C65" s="186">
        <v>0</v>
      </c>
      <c r="D65" s="186">
        <f>Table7382[[#Totals],[Cost Over 30 Years]]/30</f>
        <v>870833.33333333337</v>
      </c>
      <c r="E65" s="187">
        <f t="shared" si="5"/>
        <v>870833.33333333337</v>
      </c>
      <c r="F65" s="184">
        <f>$E65/((1+'MM_ES-1. Executive Summary'!$F$12)^$A19)</f>
        <v>506832.92855872097</v>
      </c>
      <c r="G65" s="185">
        <f>$E65/((1+'MM_ES-1. Executive Summary'!$F$13)^$A19)</f>
        <v>687443.87488171912</v>
      </c>
      <c r="H65" s="452"/>
    </row>
    <row r="66" spans="1:8">
      <c r="A66" s="112">
        <f t="shared" si="7"/>
        <v>9</v>
      </c>
      <c r="B66" s="112">
        <f t="shared" si="6"/>
        <v>2031</v>
      </c>
      <c r="C66" s="186">
        <v>0</v>
      </c>
      <c r="D66" s="186">
        <f>Table7382[[#Totals],[Cost Over 30 Years]]/30</f>
        <v>870833.33333333337</v>
      </c>
      <c r="E66" s="187">
        <f t="shared" si="5"/>
        <v>870833.33333333337</v>
      </c>
      <c r="F66" s="184">
        <f>$E66/((1+'MM_ES-1. Executive Summary'!$F$12)^$A20)</f>
        <v>473675.63416702894</v>
      </c>
      <c r="G66" s="185">
        <f>$E66/((1+'MM_ES-1. Executive Summary'!$F$13)^$A20)</f>
        <v>667421.23774924187</v>
      </c>
      <c r="H66" s="452"/>
    </row>
    <row r="67" spans="1:8">
      <c r="A67" s="112">
        <f t="shared" si="7"/>
        <v>10</v>
      </c>
      <c r="B67" s="112">
        <f t="shared" si="6"/>
        <v>2032</v>
      </c>
      <c r="C67" s="186">
        <v>0</v>
      </c>
      <c r="D67" s="186">
        <f>Table7382[[#Totals],[Cost Over 30 Years]]/30</f>
        <v>870833.33333333337</v>
      </c>
      <c r="E67" s="187">
        <f t="shared" si="5"/>
        <v>870833.33333333337</v>
      </c>
      <c r="F67" s="184">
        <f>$E67/((1+'MM_ES-1. Executive Summary'!$F$12)^$A21)</f>
        <v>442687.50856731675</v>
      </c>
      <c r="G67" s="185">
        <f>$E67/((1+'MM_ES-1. Executive Summary'!$F$13)^$A21)</f>
        <v>647981.78422256489</v>
      </c>
      <c r="H67" s="452"/>
    </row>
    <row r="68" spans="1:8">
      <c r="A68" s="112">
        <f t="shared" si="7"/>
        <v>11</v>
      </c>
      <c r="B68" s="112">
        <f t="shared" si="6"/>
        <v>2033</v>
      </c>
      <c r="C68" s="186">
        <v>0</v>
      </c>
      <c r="D68" s="186">
        <f>Table7382[[#Totals],[Cost Over 30 Years]]/30</f>
        <v>870833.33333333337</v>
      </c>
      <c r="E68" s="187">
        <f t="shared" si="5"/>
        <v>870833.33333333337</v>
      </c>
      <c r="F68" s="184">
        <f>$E68/((1+'MM_ES-1. Executive Summary'!$F$12)^$A22)</f>
        <v>413726.64352085674</v>
      </c>
      <c r="G68" s="185">
        <f>$E68/((1+'MM_ES-1. Executive Summary'!$F$13)^$A22)</f>
        <v>629108.5283714222</v>
      </c>
      <c r="H68" s="452"/>
    </row>
    <row r="69" spans="1:8">
      <c r="A69" s="112">
        <f t="shared" si="7"/>
        <v>12</v>
      </c>
      <c r="B69" s="112">
        <f t="shared" si="6"/>
        <v>2034</v>
      </c>
      <c r="C69" s="186">
        <v>0</v>
      </c>
      <c r="D69" s="186">
        <f>Table7382[[#Totals],[Cost Over 30 Years]]/30</f>
        <v>870833.33333333337</v>
      </c>
      <c r="E69" s="187">
        <f t="shared" si="5"/>
        <v>870833.33333333337</v>
      </c>
      <c r="F69" s="184">
        <f>$E69/((1+'MM_ES-1. Executive Summary'!$F$12)^$A23)</f>
        <v>386660.41450547369</v>
      </c>
      <c r="G69" s="185">
        <f>$E69/((1+'MM_ES-1. Executive Summary'!$F$13)^$A23)</f>
        <v>610784.97900138085</v>
      </c>
      <c r="H69" s="452"/>
    </row>
    <row r="70" spans="1:8">
      <c r="A70" s="112">
        <f t="shared" si="7"/>
        <v>13</v>
      </c>
      <c r="B70" s="112">
        <f t="shared" si="6"/>
        <v>2035</v>
      </c>
      <c r="C70" s="186">
        <v>0</v>
      </c>
      <c r="D70" s="186">
        <f>Table7382[[#Totals],[Cost Over 30 Years]]/30</f>
        <v>870833.33333333337</v>
      </c>
      <c r="E70" s="187">
        <f t="shared" si="5"/>
        <v>870833.33333333337</v>
      </c>
      <c r="F70" s="184">
        <f>$E70/((1+'MM_ES-1. Executive Summary'!$F$12)^$A24)</f>
        <v>361364.8733696015</v>
      </c>
      <c r="G70" s="185">
        <f>$E70/((1+'MM_ES-1. Executive Summary'!$F$13)^$A24)</f>
        <v>592995.12524405913</v>
      </c>
      <c r="H70" s="452"/>
    </row>
    <row r="71" spans="1:8">
      <c r="A71" s="112">
        <f t="shared" si="7"/>
        <v>14</v>
      </c>
      <c r="B71" s="112">
        <f t="shared" si="6"/>
        <v>2036</v>
      </c>
      <c r="C71" s="186">
        <v>0</v>
      </c>
      <c r="D71" s="186">
        <f>Table7382[[#Totals],[Cost Over 30 Years]]/30</f>
        <v>870833.33333333337</v>
      </c>
      <c r="E71" s="187">
        <f t="shared" si="5"/>
        <v>870833.33333333337</v>
      </c>
      <c r="F71" s="184">
        <f>$E71/((1+'MM_ES-1. Executive Summary'!$F$12)^$A25)</f>
        <v>337724.18071925378</v>
      </c>
      <c r="G71" s="185">
        <f>$E71/((1+'MM_ES-1. Executive Summary'!$F$13)^$A25)</f>
        <v>575723.42256704764</v>
      </c>
      <c r="H71" s="452"/>
    </row>
    <row r="72" spans="1:8">
      <c r="A72" s="112">
        <f t="shared" si="7"/>
        <v>15</v>
      </c>
      <c r="B72" s="112">
        <f t="shared" si="6"/>
        <v>2037</v>
      </c>
      <c r="C72" s="186">
        <v>0</v>
      </c>
      <c r="D72" s="186">
        <f>Table7382[[#Totals],[Cost Over 30 Years]]/30</f>
        <v>870833.33333333337</v>
      </c>
      <c r="E72" s="187">
        <f t="shared" si="5"/>
        <v>870833.33333333337</v>
      </c>
      <c r="F72" s="184">
        <f>$E72/((1+'MM_ES-1. Executive Summary'!$F$12)^$A26)</f>
        <v>315630.07543855492</v>
      </c>
      <c r="G72" s="185">
        <f>$E72/((1+'MM_ES-1. Executive Summary'!$F$13)^$A26)</f>
        <v>558954.77919130831</v>
      </c>
      <c r="H72" s="452"/>
    </row>
    <row r="73" spans="1:8">
      <c r="A73" s="112">
        <f t="shared" si="7"/>
        <v>16</v>
      </c>
      <c r="B73" s="112">
        <f t="shared" si="6"/>
        <v>2038</v>
      </c>
      <c r="C73" s="186">
        <v>0</v>
      </c>
      <c r="D73" s="186">
        <f>Table7382[[#Totals],[Cost Over 30 Years]]/30</f>
        <v>870833.33333333337</v>
      </c>
      <c r="E73" s="187">
        <f t="shared" si="5"/>
        <v>870833.33333333337</v>
      </c>
      <c r="F73" s="184">
        <f>$E73/((1+'MM_ES-1. Executive Summary'!$F$12)^$A27)</f>
        <v>294981.37891453732</v>
      </c>
      <c r="G73" s="185">
        <f>$E73/((1+'MM_ES-1. Executive Summary'!$F$13)^$A27)</f>
        <v>542674.54290418292</v>
      </c>
      <c r="H73" s="452"/>
    </row>
    <row r="74" spans="1:8">
      <c r="A74" s="112">
        <f t="shared" si="7"/>
        <v>17</v>
      </c>
      <c r="B74" s="112">
        <f t="shared" si="6"/>
        <v>2039</v>
      </c>
      <c r="C74" s="186">
        <v>0</v>
      </c>
      <c r="D74" s="186">
        <f>Table7382[[#Totals],[Cost Over 30 Years]]/30</f>
        <v>870833.33333333337</v>
      </c>
      <c r="E74" s="187">
        <f t="shared" si="5"/>
        <v>870833.33333333337</v>
      </c>
      <c r="F74" s="184">
        <f>$E74/((1+'MM_ES-1. Executive Summary'!$F$12)^$A28)</f>
        <v>275683.5316958293</v>
      </c>
      <c r="G74" s="185">
        <f>$E74/((1+'MM_ES-1. Executive Summary'!$F$13)^$A28)</f>
        <v>526868.48825648834</v>
      </c>
      <c r="H74" s="452"/>
    </row>
    <row r="75" spans="1:8">
      <c r="A75" s="112">
        <f t="shared" si="7"/>
        <v>18</v>
      </c>
      <c r="B75" s="112">
        <f t="shared" si="6"/>
        <v>2040</v>
      </c>
      <c r="C75" s="186">
        <v>0</v>
      </c>
      <c r="D75" s="186">
        <f>Table7382[[#Totals],[Cost Over 30 Years]]/30</f>
        <v>870833.33333333337</v>
      </c>
      <c r="E75" s="187">
        <f t="shared" si="5"/>
        <v>870833.33333333337</v>
      </c>
      <c r="F75" s="184">
        <f>$E75/((1+'MM_ES-1. Executive Summary'!$F$12)^$A29)</f>
        <v>257648.16046339183</v>
      </c>
      <c r="G75" s="185">
        <f>$E75/((1+'MM_ES-1. Executive Summary'!$F$13)^$A29)</f>
        <v>511522.80413251289</v>
      </c>
      <c r="H75" s="452"/>
    </row>
    <row r="76" spans="1:8">
      <c r="A76" s="112">
        <f t="shared" si="7"/>
        <v>19</v>
      </c>
      <c r="B76" s="112">
        <f t="shared" si="6"/>
        <v>2041</v>
      </c>
      <c r="C76" s="186">
        <v>0</v>
      </c>
      <c r="D76" s="186">
        <f>Table7382[[#Totals],[Cost Over 30 Years]]/30</f>
        <v>870833.33333333337</v>
      </c>
      <c r="E76" s="187">
        <f t="shared" si="5"/>
        <v>870833.33333333337</v>
      </c>
      <c r="F76" s="184">
        <f>$E76/((1+'MM_ES-1. Executive Summary'!$F$12)^$A30)</f>
        <v>240792.67333027272</v>
      </c>
      <c r="G76" s="185">
        <f>$E76/((1+'MM_ES-1. Executive Summary'!$F$13)^$A30)</f>
        <v>496624.08168205136</v>
      </c>
      <c r="H76" s="452"/>
    </row>
    <row r="77" spans="1:8">
      <c r="A77" s="112">
        <f t="shared" si="7"/>
        <v>20</v>
      </c>
      <c r="B77" s="112">
        <f t="shared" si="6"/>
        <v>2042</v>
      </c>
      <c r="C77" s="186">
        <v>0</v>
      </c>
      <c r="D77" s="186">
        <f>Table7382[[#Totals],[Cost Over 30 Years]]/30</f>
        <v>870833.33333333337</v>
      </c>
      <c r="E77" s="187">
        <f t="shared" si="5"/>
        <v>870833.33333333337</v>
      </c>
      <c r="F77" s="184">
        <f>$E77/((1+'MM_ES-1. Executive Summary'!$F$12)^$A31)</f>
        <v>225039.88161707734</v>
      </c>
      <c r="G77" s="185">
        <f>$E77/((1+'MM_ES-1. Executive Summary'!$F$13)^$A31)</f>
        <v>482159.30260393338</v>
      </c>
      <c r="H77" s="452"/>
    </row>
    <row r="78" spans="1:8">
      <c r="A78" s="112">
        <f t="shared" si="7"/>
        <v>21</v>
      </c>
      <c r="B78" s="112">
        <f t="shared" si="6"/>
        <v>2043</v>
      </c>
      <c r="C78" s="186">
        <v>0</v>
      </c>
      <c r="D78" s="186">
        <f>Table7382[[#Totals],[Cost Over 30 Years]]/30</f>
        <v>870833.33333333337</v>
      </c>
      <c r="E78" s="187">
        <f t="shared" si="5"/>
        <v>870833.33333333337</v>
      </c>
      <c r="F78" s="184">
        <f>$E78/((1+'MM_ES-1. Executive Summary'!$F$12)^$A32)</f>
        <v>210317.6463711003</v>
      </c>
      <c r="G78" s="185">
        <f>$E78/((1+'MM_ES-1. Executive Summary'!$F$13)^$A32)</f>
        <v>468115.82777080918</v>
      </c>
      <c r="H78" s="452"/>
    </row>
    <row r="79" spans="1:8">
      <c r="A79" s="112">
        <f t="shared" si="7"/>
        <v>22</v>
      </c>
      <c r="B79" s="112">
        <f t="shared" si="6"/>
        <v>2044</v>
      </c>
      <c r="C79" s="186">
        <v>0</v>
      </c>
      <c r="D79" s="186">
        <f>Table7382[[#Totals],[Cost Over 30 Years]]/30</f>
        <v>870833.33333333337</v>
      </c>
      <c r="E79" s="187">
        <f t="shared" si="5"/>
        <v>870833.33333333337</v>
      </c>
      <c r="F79" s="184">
        <f>$E79/((1+'MM_ES-1. Executive Summary'!$F$12)^$A33)</f>
        <v>196558.54801037413</v>
      </c>
      <c r="G79" s="185">
        <f>$E79/((1+'MM_ES-1. Executive Summary'!$F$13)^$A33)</f>
        <v>454481.38618525158</v>
      </c>
      <c r="H79" s="452"/>
    </row>
    <row r="80" spans="1:8">
      <c r="A80" s="112">
        <f t="shared" si="7"/>
        <v>23</v>
      </c>
      <c r="B80" s="112">
        <f t="shared" si="6"/>
        <v>2045</v>
      </c>
      <c r="C80" s="186">
        <v>0</v>
      </c>
      <c r="D80" s="186">
        <f>Table7382[[#Totals],[Cost Over 30 Years]]/30</f>
        <v>870833.33333333337</v>
      </c>
      <c r="E80" s="187">
        <f t="shared" si="5"/>
        <v>870833.33333333337</v>
      </c>
      <c r="F80" s="184">
        <f>$E80/((1+'MM_ES-1. Executive Summary'!$F$12)^$A34)</f>
        <v>183699.57757978889</v>
      </c>
      <c r="G80" s="185">
        <f>$E80/((1+'MM_ES-1. Executive Summary'!$F$13)^$A34)</f>
        <v>441244.06425752578</v>
      </c>
      <c r="H80" s="452"/>
    </row>
    <row r="81" spans="1:8">
      <c r="A81" s="112">
        <f t="shared" si="7"/>
        <v>24</v>
      </c>
      <c r="B81" s="112">
        <f t="shared" si="6"/>
        <v>2046</v>
      </c>
      <c r="C81" s="186">
        <v>0</v>
      </c>
      <c r="D81" s="186">
        <f>Table7382[[#Totals],[Cost Over 30 Years]]/30</f>
        <v>870833.33333333337</v>
      </c>
      <c r="E81" s="187">
        <f t="shared" si="5"/>
        <v>870833.33333333337</v>
      </c>
      <c r="F81" s="184">
        <f>$E81/((1+'MM_ES-1. Executive Summary'!$F$12)^$A35)</f>
        <v>171681.84820541018</v>
      </c>
      <c r="G81" s="185">
        <f>$E81/((1+'MM_ES-1. Executive Summary'!$F$13)^$A35)</f>
        <v>428392.29539565614</v>
      </c>
      <c r="H81" s="452"/>
    </row>
    <row r="82" spans="1:8">
      <c r="A82" s="112">
        <f t="shared" si="7"/>
        <v>25</v>
      </c>
      <c r="B82" s="112">
        <f t="shared" si="6"/>
        <v>2047</v>
      </c>
      <c r="C82" s="186">
        <v>0</v>
      </c>
      <c r="D82" s="186">
        <f>Table7382[[#Totals],[Cost Over 30 Years]]/30</f>
        <v>870833.33333333337</v>
      </c>
      <c r="E82" s="187">
        <f t="shared" si="5"/>
        <v>870833.33333333337</v>
      </c>
      <c r="F82" s="184">
        <f>$E82/((1+'MM_ES-1. Executive Summary'!$F$12)^$A36)</f>
        <v>160450.32542561696</v>
      </c>
      <c r="G82" s="185">
        <f>$E82/((1+'MM_ES-1. Executive Summary'!$F$13)^$A36)</f>
        <v>415914.84989869531</v>
      </c>
      <c r="H82" s="452"/>
    </row>
    <row r="83" spans="1:8">
      <c r="A83" s="112">
        <f t="shared" si="7"/>
        <v>26</v>
      </c>
      <c r="B83" s="112">
        <f t="shared" si="6"/>
        <v>2048</v>
      </c>
      <c r="C83" s="186">
        <v>0</v>
      </c>
      <c r="D83" s="186">
        <f>Table7382[[#Totals],[Cost Over 30 Years]]/30</f>
        <v>870833.33333333337</v>
      </c>
      <c r="E83" s="187">
        <f t="shared" si="5"/>
        <v>870833.33333333337</v>
      </c>
      <c r="F83" s="184">
        <f>$E83/((1+'MM_ES-1. Executive Summary'!$F$12)^$A37)</f>
        <v>149953.57516412804</v>
      </c>
      <c r="G83" s="185">
        <f>$E83/((1+'MM_ES-1. Executive Summary'!$F$13)^$A37)</f>
        <v>403800.82514436432</v>
      </c>
      <c r="H83" s="452"/>
    </row>
    <row r="84" spans="1:8">
      <c r="A84" s="112">
        <f t="shared" si="7"/>
        <v>27</v>
      </c>
      <c r="B84" s="112">
        <f t="shared" si="6"/>
        <v>2049</v>
      </c>
      <c r="C84" s="186">
        <v>0</v>
      </c>
      <c r="D84" s="186">
        <f>Table7382[[#Totals],[Cost Over 30 Years]]/30</f>
        <v>870833.33333333337</v>
      </c>
      <c r="E84" s="187">
        <f t="shared" si="5"/>
        <v>870833.33333333337</v>
      </c>
      <c r="F84" s="184">
        <f>$E84/((1+'MM_ES-1. Executive Summary'!$F$12)^$A38)</f>
        <v>140143.52819077382</v>
      </c>
      <c r="G84" s="185">
        <f>$E84/((1+'MM_ES-1. Executive Summary'!$F$13)^$A38)</f>
        <v>392039.63606248965</v>
      </c>
      <c r="H84" s="452"/>
    </row>
    <row r="85" spans="1:8">
      <c r="A85" s="112">
        <f t="shared" si="7"/>
        <v>28</v>
      </c>
      <c r="B85" s="112">
        <f t="shared" si="6"/>
        <v>2050</v>
      </c>
      <c r="C85" s="186">
        <v>0</v>
      </c>
      <c r="D85" s="186">
        <f>Table7382[[#Totals],[Cost Over 30 Years]]/30</f>
        <v>870833.33333333337</v>
      </c>
      <c r="E85" s="187">
        <f t="shared" si="5"/>
        <v>870833.33333333337</v>
      </c>
      <c r="F85" s="184">
        <f>$E85/((1+'MM_ES-1. Executive Summary'!$F$12)^$A39)</f>
        <v>130975.25999137743</v>
      </c>
      <c r="G85" s="185">
        <f>$E85/((1+'MM_ES-1. Executive Summary'!$F$13)^$A39)</f>
        <v>380621.00588591228</v>
      </c>
      <c r="H85" s="452"/>
    </row>
    <row r="86" spans="1:8">
      <c r="A86" s="112">
        <f t="shared" si="7"/>
        <v>29</v>
      </c>
      <c r="B86" s="112">
        <f t="shared" si="6"/>
        <v>2051</v>
      </c>
      <c r="C86" s="186">
        <v>0</v>
      </c>
      <c r="D86" s="186">
        <f>Table7382[[#Totals],[Cost Over 30 Years]]/30</f>
        <v>870833.33333333337</v>
      </c>
      <c r="E86" s="187">
        <f t="shared" si="5"/>
        <v>870833.33333333337</v>
      </c>
      <c r="F86" s="184">
        <f>$E86/((1+'MM_ES-1. Executive Summary'!$F$12)^$A40)</f>
        <v>122406.7850386705</v>
      </c>
      <c r="G86" s="185">
        <f>$E86/((1+'MM_ES-1. Executive Summary'!$F$13)^$A40)</f>
        <v>369534.95717078866</v>
      </c>
      <c r="H86" s="452"/>
    </row>
    <row r="87" spans="1:8">
      <c r="A87" s="112">
        <f t="shared" si="7"/>
        <v>30</v>
      </c>
      <c r="B87" s="112">
        <f t="shared" si="6"/>
        <v>2052</v>
      </c>
      <c r="C87" s="186">
        <v>0</v>
      </c>
      <c r="D87" s="186">
        <f>Table7382[[#Totals],[Cost Over 30 Years]]/30</f>
        <v>870833.33333333337</v>
      </c>
      <c r="E87" s="187">
        <f t="shared" si="5"/>
        <v>870833.33333333337</v>
      </c>
      <c r="F87" s="184">
        <f>$E87/((1+'MM_ES-1. Executive Summary'!$F$12)^$A41)</f>
        <v>114398.86452212196</v>
      </c>
      <c r="G87" s="185">
        <f>$E87/((1+'MM_ES-1. Executive Summary'!$F$13)^$A41)</f>
        <v>358771.80307843559</v>
      </c>
      <c r="H87" s="452"/>
    </row>
    <row r="88" spans="1:8">
      <c r="A88" s="112">
        <f t="shared" si="7"/>
        <v>31</v>
      </c>
      <c r="B88" s="112">
        <f t="shared" si="6"/>
        <v>2053</v>
      </c>
      <c r="C88" s="186">
        <v>0</v>
      </c>
      <c r="D88" s="186">
        <f>Table7382[[#Totals],[Cost Over 30 Years]]/30</f>
        <v>870833.33333333337</v>
      </c>
      <c r="E88" s="187">
        <f t="shared" si="5"/>
        <v>870833.33333333337</v>
      </c>
      <c r="F88" s="184">
        <f>$E88/((1+'MM_ES-1. Executive Summary'!$F$12)^$A42)</f>
        <v>106914.82665618873</v>
      </c>
      <c r="G88" s="185">
        <f>$E88/((1+'MM_ES-1. Executive Summary'!$F$13)^$A42)</f>
        <v>348322.13891110249</v>
      </c>
      <c r="H88" s="452"/>
    </row>
    <row r="89" spans="1:8">
      <c r="A89" s="112">
        <f t="shared" si="7"/>
        <v>32</v>
      </c>
      <c r="B89" s="112">
        <f t="shared" si="6"/>
        <v>2054</v>
      </c>
      <c r="C89" s="186">
        <v>0</v>
      </c>
      <c r="D89" s="186">
        <f>Table7382[[#Totals],[Cost Over 30 Years]]/30</f>
        <v>870833.33333333337</v>
      </c>
      <c r="E89" s="187">
        <f t="shared" si="5"/>
        <v>870833.33333333337</v>
      </c>
      <c r="F89" s="184">
        <f>$E89/((1+'MM_ES-1. Executive Summary'!$F$12)^$A43)</f>
        <v>99920.398744101622</v>
      </c>
      <c r="G89" s="185">
        <f>$E89/((1+'MM_ES-1. Executive Summary'!$F$13)^$A43)</f>
        <v>338176.83389427431</v>
      </c>
      <c r="H89" s="452"/>
    </row>
    <row r="90" spans="1:8">
      <c r="A90" s="112">
        <f t="shared" si="7"/>
        <v>33</v>
      </c>
      <c r="B90" s="112">
        <f t="shared" si="6"/>
        <v>2055</v>
      </c>
      <c r="C90" s="186">
        <v>0</v>
      </c>
      <c r="D90" s="186">
        <f>Table7382[[#Totals],[Cost Over 30 Years]]/30</f>
        <v>870833.33333333337</v>
      </c>
      <c r="E90" s="187">
        <f t="shared" si="5"/>
        <v>870833.33333333337</v>
      </c>
      <c r="F90" s="184">
        <f>$E90/((1+'MM_ES-1. Executive Summary'!$F$12)^$A44)</f>
        <v>93383.550228132357</v>
      </c>
      <c r="G90" s="185">
        <f>$E90/((1+'MM_ES-1. Executive Summary'!$F$13)^$A44)</f>
        <v>328327.02319832455</v>
      </c>
      <c r="H90" s="452"/>
    </row>
    <row r="91" spans="1:8">
      <c r="A91" s="112">
        <f t="shared" si="7"/>
        <v>34</v>
      </c>
      <c r="B91" s="112">
        <f t="shared" si="6"/>
        <v>2056</v>
      </c>
      <c r="C91" s="186">
        <v>0</v>
      </c>
      <c r="D91" s="186">
        <f>Table7382[[#Totals],[Cost Over 30 Years]]/30</f>
        <v>870833.33333333337</v>
      </c>
      <c r="E91" s="187">
        <f t="shared" si="5"/>
        <v>870833.33333333337</v>
      </c>
      <c r="F91" s="184">
        <f>$E91/((1+'MM_ES-1. Executive Summary'!$F$12)^$A45)</f>
        <v>87274.346007600339</v>
      </c>
      <c r="G91" s="185">
        <f>$E91/((1+'MM_ES-1. Executive Summary'!$F$13)^$A45)</f>
        <v>318764.10019254818</v>
      </c>
      <c r="H91" s="452"/>
    </row>
    <row r="92" spans="1:8">
      <c r="A92" s="112">
        <f t="shared" si="7"/>
        <v>35</v>
      </c>
      <c r="B92" s="112">
        <f t="shared" si="6"/>
        <v>2057</v>
      </c>
      <c r="C92" s="186">
        <v>0</v>
      </c>
      <c r="D92" s="186">
        <f>Table7382[[#Totals],[Cost Over 30 Years]]/30</f>
        <v>870833.33333333337</v>
      </c>
      <c r="E92" s="187">
        <f t="shared" si="5"/>
        <v>870833.33333333337</v>
      </c>
      <c r="F92" s="184">
        <f>$E92/((1+'MM_ES-1. Executive Summary'!$F$12)^$A46)</f>
        <v>81564.809352897515</v>
      </c>
      <c r="G92" s="185">
        <f>$E92/((1+'MM_ES-1. Executive Summary'!$F$13)^$A46)</f>
        <v>309479.708924804</v>
      </c>
      <c r="H92" s="452"/>
    </row>
    <row r="93" spans="1:8" ht="13.5" thickBot="1">
      <c r="A93" s="322">
        <f t="shared" si="7"/>
        <v>36</v>
      </c>
      <c r="B93" s="322">
        <f t="shared" si="6"/>
        <v>2058</v>
      </c>
      <c r="C93" s="324">
        <v>0</v>
      </c>
      <c r="D93" s="324">
        <f>Table7382[[#Totals],[Cost Over 30 Years]]/30</f>
        <v>870833.33333333337</v>
      </c>
      <c r="E93" s="329">
        <f t="shared" si="5"/>
        <v>870833.33333333337</v>
      </c>
      <c r="F93" s="327">
        <f>$E93/((1+'MM_ES-1. Executive Summary'!$F$12)^$A47)</f>
        <v>76228.793787754679</v>
      </c>
      <c r="G93" s="328">
        <f>$E93/((1+'MM_ES-1. Executive Summary'!$F$13)^$A47)</f>
        <v>300465.73682019807</v>
      </c>
      <c r="H93" s="452"/>
    </row>
    <row r="94" spans="1:8" ht="13.5" hidden="1" thickTop="1">
      <c r="A94" s="112">
        <f t="shared" si="7"/>
        <v>37</v>
      </c>
      <c r="B94" s="112" t="str">
        <f t="shared" si="6"/>
        <v/>
      </c>
      <c r="C94" s="186">
        <v>0</v>
      </c>
      <c r="D94" s="186"/>
      <c r="E94" s="187">
        <f t="shared" si="5"/>
        <v>0</v>
      </c>
      <c r="F94" s="184">
        <v>0</v>
      </c>
      <c r="G94" s="185">
        <v>0</v>
      </c>
      <c r="H94" s="452"/>
    </row>
    <row r="95" spans="1:8" ht="13.5" hidden="1" thickTop="1">
      <c r="A95" s="112">
        <f t="shared" si="7"/>
        <v>38</v>
      </c>
      <c r="B95" s="112" t="str">
        <f t="shared" si="6"/>
        <v/>
      </c>
      <c r="C95" s="186">
        <v>0</v>
      </c>
      <c r="D95" s="186"/>
      <c r="E95" s="187">
        <f t="shared" si="5"/>
        <v>0</v>
      </c>
      <c r="F95" s="184">
        <v>0</v>
      </c>
      <c r="G95" s="185">
        <v>0</v>
      </c>
      <c r="H95" s="452"/>
    </row>
    <row r="96" spans="1:8" ht="13.5" hidden="1" thickTop="1">
      <c r="A96" s="112">
        <f t="shared" si="7"/>
        <v>39</v>
      </c>
      <c r="B96" s="112" t="str">
        <f t="shared" si="6"/>
        <v/>
      </c>
      <c r="C96" s="186">
        <v>0</v>
      </c>
      <c r="D96" s="186"/>
      <c r="E96" s="187">
        <f t="shared" si="5"/>
        <v>0</v>
      </c>
      <c r="F96" s="184">
        <v>0</v>
      </c>
      <c r="G96" s="185">
        <v>0</v>
      </c>
      <c r="H96" s="452"/>
    </row>
    <row r="97" spans="1:8" ht="13.5" hidden="1" thickTop="1">
      <c r="A97" s="112">
        <f t="shared" si="7"/>
        <v>40</v>
      </c>
      <c r="B97" s="112" t="str">
        <f t="shared" si="6"/>
        <v/>
      </c>
      <c r="C97" s="186">
        <v>0</v>
      </c>
      <c r="D97" s="186"/>
      <c r="E97" s="187">
        <f t="shared" si="5"/>
        <v>0</v>
      </c>
      <c r="F97" s="184">
        <v>0</v>
      </c>
      <c r="G97" s="185">
        <v>0</v>
      </c>
      <c r="H97" s="452"/>
    </row>
    <row r="98" spans="1:8" ht="33" customHeight="1" thickTop="1">
      <c r="A98" s="461" t="s">
        <v>53</v>
      </c>
      <c r="B98" s="461"/>
      <c r="C98" s="195">
        <f t="shared" ref="C98:G98" si="8">SUM(C58:C93)</f>
        <v>91000000</v>
      </c>
      <c r="D98" s="195">
        <f t="shared" si="8"/>
        <v>26124999.999999993</v>
      </c>
      <c r="E98" s="199">
        <f t="shared" si="8"/>
        <v>117124999.99999985</v>
      </c>
      <c r="F98" s="197">
        <f t="shared" si="8"/>
        <v>78517069.210677996</v>
      </c>
      <c r="G98" s="198">
        <f t="shared" si="8"/>
        <v>96046330.505330533</v>
      </c>
      <c r="H98" s="453"/>
    </row>
  </sheetData>
  <mergeCells count="5">
    <mergeCell ref="A52:B52"/>
    <mergeCell ref="C56:J56"/>
    <mergeCell ref="A98:B98"/>
    <mergeCell ref="A1:O1"/>
    <mergeCell ref="A7:O7"/>
  </mergeCells>
  <pageMargins left="0.7" right="0.7" top="0.75" bottom="0.75" header="0.3" footer="0.3"/>
  <pageSetup scale="48" fitToHeight="0" orientation="landscape" r:id="rId1"/>
  <rowBreaks count="1" manualBreakCount="1">
    <brk id="52"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B18D5-EC2D-46AC-8D4D-B46E60A8DE72}">
  <sheetPr>
    <tabColor theme="9"/>
    <pageSetUpPr fitToPage="1"/>
  </sheetPr>
  <dimension ref="A1:K61"/>
  <sheetViews>
    <sheetView showGridLines="0" zoomScaleNormal="100" workbookViewId="0">
      <selection activeCell="A7" sqref="A7"/>
    </sheetView>
  </sheetViews>
  <sheetFormatPr defaultColWidth="9.140625" defaultRowHeight="12.75"/>
  <cols>
    <col min="1" max="1" width="13.85546875" style="61" bestFit="1" customWidth="1"/>
    <col min="2" max="2" width="17.7109375" style="67" customWidth="1"/>
    <col min="3" max="3" width="13" style="61" bestFit="1" customWidth="1"/>
    <col min="4" max="4" width="20.7109375" style="61" customWidth="1"/>
    <col min="5" max="5" width="34.28515625" style="61" customWidth="1"/>
    <col min="6" max="6" width="20.7109375" style="61" customWidth="1"/>
    <col min="7" max="7" width="10.5703125" style="61" customWidth="1"/>
    <col min="8" max="10" width="24.140625" style="61" customWidth="1"/>
    <col min="11" max="13" width="16" style="61" customWidth="1"/>
    <col min="14" max="14" width="14.7109375" style="61" customWidth="1"/>
    <col min="15" max="16384" width="9.140625" style="61"/>
  </cols>
  <sheetData>
    <row r="1" spans="1:11">
      <c r="A1" s="455" t="s">
        <v>0</v>
      </c>
      <c r="B1" s="455"/>
      <c r="C1" s="455"/>
      <c r="D1" s="455"/>
      <c r="E1" s="455"/>
      <c r="F1" s="455"/>
      <c r="G1" s="455"/>
      <c r="H1" s="455"/>
      <c r="I1" s="455"/>
      <c r="J1" s="455"/>
      <c r="K1" s="60"/>
    </row>
    <row r="2" spans="1:11">
      <c r="A2" s="62" t="s">
        <v>1</v>
      </c>
      <c r="B2" s="63" t="str">
        <f>Project_Name</f>
        <v>Completing the I-95 Missing Move and Quonset Connector Ramps</v>
      </c>
    </row>
    <row r="3" spans="1:11">
      <c r="A3" s="62" t="s">
        <v>2</v>
      </c>
      <c r="B3" s="63" t="s">
        <v>56</v>
      </c>
    </row>
    <row r="4" spans="1:11">
      <c r="A4" s="62" t="s">
        <v>4</v>
      </c>
      <c r="B4" s="64">
        <f>Date</f>
        <v>45159</v>
      </c>
    </row>
    <row r="5" spans="1:11" ht="29.25" customHeight="1" thickBot="1">
      <c r="A5" s="62"/>
      <c r="B5" s="65"/>
    </row>
    <row r="6" spans="1:11" ht="162" customHeight="1" thickBot="1">
      <c r="A6" s="460" t="s">
        <v>57</v>
      </c>
      <c r="B6" s="463"/>
      <c r="C6" s="463"/>
      <c r="D6" s="463"/>
      <c r="E6" s="463"/>
      <c r="F6" s="463"/>
      <c r="G6" s="463"/>
      <c r="H6" s="463"/>
      <c r="I6" s="463"/>
      <c r="J6" s="464"/>
      <c r="K6" s="66"/>
    </row>
    <row r="7" spans="1:11">
      <c r="A7" s="62"/>
      <c r="B7" s="65"/>
    </row>
    <row r="8" spans="1:11">
      <c r="A8" s="62"/>
      <c r="B8" s="65"/>
      <c r="E8" s="63" t="s">
        <v>6</v>
      </c>
    </row>
    <row r="9" spans="1:11">
      <c r="A9" s="62"/>
      <c r="B9" s="65"/>
    </row>
    <row r="10" spans="1:11">
      <c r="A10" s="62"/>
      <c r="B10" s="65"/>
      <c r="E10" s="61" t="s">
        <v>7</v>
      </c>
      <c r="F10" s="61" t="s">
        <v>8</v>
      </c>
    </row>
    <row r="11" spans="1:11" ht="12.75" customHeight="1">
      <c r="E11" s="81" t="s">
        <v>9</v>
      </c>
      <c r="F11" s="77">
        <v>30</v>
      </c>
    </row>
    <row r="12" spans="1:11">
      <c r="E12" s="81" t="s">
        <v>10</v>
      </c>
      <c r="F12" s="340">
        <v>7.0000000000000007E-2</v>
      </c>
    </row>
    <row r="13" spans="1:11">
      <c r="E13" s="81" t="s">
        <v>11</v>
      </c>
      <c r="F13" s="340">
        <v>0.03</v>
      </c>
    </row>
    <row r="14" spans="1:11">
      <c r="E14" s="81" t="s">
        <v>12</v>
      </c>
      <c r="F14" s="365">
        <f>Table7673[[#Totals],[Project Benefits at 7% Discount Rate*]]</f>
        <v>78594801.55840686</v>
      </c>
    </row>
    <row r="15" spans="1:11">
      <c r="E15" s="81" t="s">
        <v>13</v>
      </c>
      <c r="F15" s="365">
        <f>Table7774[[#Totals],[Project Costs at 7% Discount Rate]]</f>
        <v>35643258.872770384</v>
      </c>
    </row>
    <row r="16" spans="1:11">
      <c r="E16" s="90" t="s">
        <v>14</v>
      </c>
      <c r="F16" s="348">
        <f>F14/F15</f>
        <v>2.2050397198234095</v>
      </c>
    </row>
    <row r="17" spans="2:10">
      <c r="E17" s="81" t="s">
        <v>15</v>
      </c>
      <c r="F17" s="341">
        <f>Table7673[[#Totals],[Project Benefits at 7% Discount Rate*]]-Table7774[[#Totals],[Project Costs at 7% Discount Rate]]</f>
        <v>42951542.685636476</v>
      </c>
    </row>
    <row r="18" spans="2:10">
      <c r="E18" s="82" t="s">
        <v>16</v>
      </c>
      <c r="F18" s="342">
        <f>Table7673[[#Totals],[Project Benefits at 3% Discount Rate]]/Table7774[[#Totals],[Project Costs at 3% Discount Rate]]</f>
        <v>3.6083128479069768</v>
      </c>
    </row>
    <row r="19" spans="2:10">
      <c r="E19" s="82" t="s">
        <v>17</v>
      </c>
      <c r="F19" s="293">
        <f>Table7673[[#Totals],[Project Benefits at 3% Discount Rate]]-Table7774[[#Totals],[Project Costs at 3% Discount Rate]]</f>
        <v>110291314.74772134</v>
      </c>
    </row>
    <row r="21" spans="2:10" ht="12.75" customHeight="1">
      <c r="B21" s="459" t="s">
        <v>18</v>
      </c>
      <c r="C21" s="459"/>
      <c r="D21" s="459"/>
      <c r="H21" s="71" t="s">
        <v>19</v>
      </c>
      <c r="I21" s="71"/>
      <c r="J21" s="71"/>
    </row>
    <row r="22" spans="2:10">
      <c r="H22" s="70"/>
    </row>
    <row r="23" spans="2:10" ht="48" customHeight="1">
      <c r="B23" s="133" t="s">
        <v>20</v>
      </c>
      <c r="C23" s="133" t="s">
        <v>21</v>
      </c>
      <c r="D23" s="133" t="s">
        <v>22</v>
      </c>
      <c r="E23" s="133" t="s">
        <v>23</v>
      </c>
      <c r="F23" s="133" t="s">
        <v>24</v>
      </c>
      <c r="G23" s="133"/>
      <c r="H23" s="133" t="s">
        <v>25</v>
      </c>
      <c r="I23" s="133" t="s">
        <v>26</v>
      </c>
      <c r="J23" s="133" t="s">
        <v>27</v>
      </c>
    </row>
    <row r="24" spans="2:10" ht="12.75" customHeight="1">
      <c r="B24" s="344">
        <v>1</v>
      </c>
      <c r="C24" s="344">
        <v>2022</v>
      </c>
      <c r="D24" s="345">
        <f>'Q_ES-2. B&amp;C Summary Backup'!M12</f>
        <v>0</v>
      </c>
      <c r="E24" s="366">
        <f>'Q_ES-2. B&amp;C Summary Backup'!N12</f>
        <v>0</v>
      </c>
      <c r="F24" s="366">
        <f t="shared" ref="F24:F59" si="0">$D24/((1+$F$13)^$B24)</f>
        <v>0</v>
      </c>
      <c r="G24" s="366"/>
      <c r="H24" s="347">
        <f>'Q_ES-2. B&amp;C Summary Backup'!E58</f>
        <v>480000</v>
      </c>
      <c r="I24" s="366">
        <f t="shared" ref="I24:I59" si="1">$H24/((1+$F$12)^$B24)</f>
        <v>448598.13084112148</v>
      </c>
      <c r="J24" s="366">
        <f t="shared" ref="J24:J59" si="2">$H24/((1+$F$13)^$B24)</f>
        <v>466019.41747572814</v>
      </c>
    </row>
    <row r="25" spans="2:10">
      <c r="B25" s="344">
        <v>2</v>
      </c>
      <c r="C25" s="344">
        <f t="shared" ref="C25:C59" si="3">C24+1</f>
        <v>2023</v>
      </c>
      <c r="D25" s="345">
        <f>'Q_ES-2. B&amp;C Summary Backup'!M13</f>
        <v>0</v>
      </c>
      <c r="E25" s="366">
        <f>'Q_ES-2. B&amp;C Summary Backup'!N13</f>
        <v>0</v>
      </c>
      <c r="F25" s="366">
        <f t="shared" si="0"/>
        <v>0</v>
      </c>
      <c r="G25" s="366"/>
      <c r="H25" s="347">
        <f>'Q_ES-2. B&amp;C Summary Backup'!E59</f>
        <v>2190000</v>
      </c>
      <c r="I25" s="366">
        <f t="shared" si="1"/>
        <v>1912830.8149183334</v>
      </c>
      <c r="J25" s="366">
        <f t="shared" si="2"/>
        <v>2064285.0410029222</v>
      </c>
    </row>
    <row r="26" spans="2:10">
      <c r="B26" s="344">
        <v>3</v>
      </c>
      <c r="C26" s="344">
        <f t="shared" si="3"/>
        <v>2024</v>
      </c>
      <c r="D26" s="345">
        <f>'Q_ES-2. B&amp;C Summary Backup'!M14</f>
        <v>-43177.42091761779</v>
      </c>
      <c r="E26" s="366">
        <f>'Q_ES-2. B&amp;C Summary Backup'!N14</f>
        <v>-35245.637024674063</v>
      </c>
      <c r="F26" s="366">
        <f t="shared" si="0"/>
        <v>-39513.45662513857</v>
      </c>
      <c r="G26" s="366"/>
      <c r="H26" s="347">
        <f>'Q_ES-2. B&amp;C Summary Backup'!E60</f>
        <v>19900000</v>
      </c>
      <c r="I26" s="366">
        <f>$H26/((1+$F$12)^$B26)</f>
        <v>16244327.750127953</v>
      </c>
      <c r="J26" s="366">
        <f t="shared" si="2"/>
        <v>18211319.021127876</v>
      </c>
    </row>
    <row r="27" spans="2:10">
      <c r="B27" s="344">
        <v>4</v>
      </c>
      <c r="C27" s="344">
        <f t="shared" si="3"/>
        <v>2025</v>
      </c>
      <c r="D27" s="345">
        <f>'Q_ES-2. B&amp;C Summary Backup'!M15</f>
        <v>-172709.68367047116</v>
      </c>
      <c r="E27" s="366">
        <f>'Q_ES-2. B&amp;C Summary Backup'!N15</f>
        <v>-131759.3907464451</v>
      </c>
      <c r="F27" s="366">
        <f t="shared" si="0"/>
        <v>-153450.31699082939</v>
      </c>
      <c r="G27" s="366"/>
      <c r="H27" s="347">
        <f>'Q_ES-2. B&amp;C Summary Backup'!E61</f>
        <v>10900000</v>
      </c>
      <c r="I27" s="366">
        <f t="shared" si="1"/>
        <v>8315557.811318025</v>
      </c>
      <c r="J27" s="366">
        <f t="shared" si="2"/>
        <v>9684508.8222810104</v>
      </c>
    </row>
    <row r="28" spans="2:10">
      <c r="B28" s="344">
        <v>5</v>
      </c>
      <c r="C28" s="344">
        <f t="shared" si="3"/>
        <v>2026</v>
      </c>
      <c r="D28" s="345">
        <f>'Q_ES-2. B&amp;C Summary Backup'!M16</f>
        <v>-172709.68367047116</v>
      </c>
      <c r="E28" s="366">
        <f>'Q_ES-2. B&amp;C Summary Backup'!N16</f>
        <v>-123139.61752004214</v>
      </c>
      <c r="F28" s="366">
        <f t="shared" si="0"/>
        <v>-148980.89028235865</v>
      </c>
      <c r="G28" s="366"/>
      <c r="H28" s="347">
        <f>'Q_ES-2. B&amp;C Summary Backup'!E62</f>
        <v>5125000</v>
      </c>
      <c r="I28" s="366">
        <f t="shared" si="1"/>
        <v>3654054.1698538004</v>
      </c>
      <c r="J28" s="366">
        <f t="shared" si="2"/>
        <v>4420870.0199688412</v>
      </c>
    </row>
    <row r="29" spans="2:10">
      <c r="B29" s="344">
        <v>6</v>
      </c>
      <c r="C29" s="344">
        <f t="shared" si="3"/>
        <v>2027</v>
      </c>
      <c r="D29" s="345">
        <f>'Q_ES-2. B&amp;C Summary Backup'!M17</f>
        <v>8586558.5452819802</v>
      </c>
      <c r="E29" s="366">
        <f>'Q_ES-2. B&amp;C Summary Backup'!N17</f>
        <v>5721897.152823112</v>
      </c>
      <c r="F29" s="366">
        <f t="shared" si="0"/>
        <v>7191107.6007661605</v>
      </c>
      <c r="G29" s="366"/>
      <c r="H29" s="347">
        <f>'Q_ES-2. B&amp;C Summary Backup'!E63</f>
        <v>5405000</v>
      </c>
      <c r="I29" s="366">
        <f t="shared" si="1"/>
        <v>3601579.7197282501</v>
      </c>
      <c r="J29" s="366">
        <f t="shared" si="2"/>
        <v>4526602.4073751522</v>
      </c>
    </row>
    <row r="30" spans="2:10">
      <c r="B30" s="344">
        <v>7</v>
      </c>
      <c r="C30" s="344">
        <f t="shared" si="3"/>
        <v>2028</v>
      </c>
      <c r="D30" s="347">
        <f>'Q_ES-2. B&amp;C Summary Backup'!M18</f>
        <v>8682900.9625384305</v>
      </c>
      <c r="E30" s="366">
        <f>'Q_ES-2. B&amp;C Summary Backup'!N18</f>
        <v>5407569.3192383284</v>
      </c>
      <c r="F30" s="366">
        <f t="shared" si="0"/>
        <v>7059993.0664750338</v>
      </c>
      <c r="G30" s="366"/>
      <c r="H30" s="345">
        <f>'Q_ES-2. B&amp;C Summary Backup'!E64</f>
        <v>177333.33333333334</v>
      </c>
      <c r="I30" s="366">
        <f t="shared" si="1"/>
        <v>110434.28756086749</v>
      </c>
      <c r="J30" s="366">
        <f t="shared" si="2"/>
        <v>144188.22801155475</v>
      </c>
    </row>
    <row r="31" spans="2:10">
      <c r="B31" s="344">
        <v>8</v>
      </c>
      <c r="C31" s="344">
        <f t="shared" si="3"/>
        <v>2029</v>
      </c>
      <c r="D31" s="347">
        <f>'Q_ES-2. B&amp;C Summary Backup'!M19</f>
        <v>8779263.7149262968</v>
      </c>
      <c r="E31" s="366">
        <f>'Q_ES-2. B&amp;C Summary Backup'!N19</f>
        <v>5109875.8362128343</v>
      </c>
      <c r="F31" s="366">
        <f t="shared" si="0"/>
        <v>6930431.847040087</v>
      </c>
      <c r="G31" s="366"/>
      <c r="H31" s="345">
        <f>'Q_ES-2. B&amp;C Summary Backup'!E65</f>
        <v>177333.33333333334</v>
      </c>
      <c r="I31" s="366">
        <f t="shared" si="1"/>
        <v>103209.61454286682</v>
      </c>
      <c r="J31" s="366">
        <f t="shared" si="2"/>
        <v>139988.57088500462</v>
      </c>
    </row>
    <row r="32" spans="2:10">
      <c r="B32" s="344">
        <v>9</v>
      </c>
      <c r="C32" s="344">
        <f t="shared" si="3"/>
        <v>2030</v>
      </c>
      <c r="D32" s="347">
        <f>'Q_ES-2. B&amp;C Summary Backup'!M20</f>
        <v>8789242.7716864496</v>
      </c>
      <c r="E32" s="366">
        <f>'Q_ES-2. B&amp;C Summary Backup'!N20</f>
        <v>4780989.548684408</v>
      </c>
      <c r="F32" s="366">
        <f t="shared" si="0"/>
        <v>6736222.7248507719</v>
      </c>
      <c r="G32" s="366"/>
      <c r="H32" s="345">
        <f>'Q_ES-2. B&amp;C Summary Backup'!E66</f>
        <v>177333.33333333334</v>
      </c>
      <c r="I32" s="366">
        <f t="shared" si="1"/>
        <v>96457.583684922254</v>
      </c>
      <c r="J32" s="366">
        <f t="shared" si="2"/>
        <v>135911.23386893651</v>
      </c>
    </row>
    <row r="33" spans="2:10">
      <c r="B33" s="344">
        <v>10</v>
      </c>
      <c r="C33" s="344">
        <f t="shared" si="3"/>
        <v>2031</v>
      </c>
      <c r="D33" s="347">
        <f>'Q_ES-2. B&amp;C Summary Backup'!M21</f>
        <v>8798382.5448329113</v>
      </c>
      <c r="E33" s="366">
        <f>'Q_ES-2. B&amp;C Summary Backup'!N21</f>
        <v>4472818.3146862919</v>
      </c>
      <c r="F33" s="366">
        <f t="shared" si="0"/>
        <v>6546822.9125437327</v>
      </c>
      <c r="G33" s="366"/>
      <c r="H33" s="345">
        <f>'Q_ES-2. B&amp;C Summary Backup'!E67</f>
        <v>177333.33333333334</v>
      </c>
      <c r="I33" s="366">
        <f t="shared" si="1"/>
        <v>90147.274471889963</v>
      </c>
      <c r="J33" s="366">
        <f t="shared" si="2"/>
        <v>131952.65424168593</v>
      </c>
    </row>
    <row r="34" spans="2:10">
      <c r="B34" s="344">
        <v>11</v>
      </c>
      <c r="C34" s="344">
        <f t="shared" si="3"/>
        <v>2032</v>
      </c>
      <c r="D34" s="347">
        <f>'Q_ES-2. B&amp;C Summary Backup'!M22</f>
        <v>8807411.2084958088</v>
      </c>
      <c r="E34" s="366">
        <f>'Q_ES-2. B&amp;C Summary Backup'!N22</f>
        <v>4184411.2517819759</v>
      </c>
      <c r="F34" s="366">
        <f t="shared" si="0"/>
        <v>6362661.2487717904</v>
      </c>
      <c r="G34" s="366"/>
      <c r="H34" s="345">
        <f>'Q_ES-2. B&amp;C Summary Backup'!E68</f>
        <v>177333.33333333334</v>
      </c>
      <c r="I34" s="366">
        <f t="shared" si="1"/>
        <v>84249.789226065375</v>
      </c>
      <c r="J34" s="366">
        <f t="shared" si="2"/>
        <v>128109.37305018053</v>
      </c>
    </row>
    <row r="35" spans="2:10">
      <c r="B35" s="344">
        <v>12</v>
      </c>
      <c r="C35" s="344">
        <f t="shared" si="3"/>
        <v>2033</v>
      </c>
      <c r="D35" s="347">
        <f>'Q_ES-2. B&amp;C Summary Backup'!M23</f>
        <v>8816439.8721587006</v>
      </c>
      <c r="E35" s="366">
        <f>'Q_ES-2. B&amp;C Summary Backup'!N23</f>
        <v>3914575.9090646575</v>
      </c>
      <c r="F35" s="366">
        <f t="shared" si="0"/>
        <v>6183673.5412632218</v>
      </c>
      <c r="G35" s="366"/>
      <c r="H35" s="345">
        <f>'Q_ES-2. B&amp;C Summary Backup'!E69</f>
        <v>177333.33333333334</v>
      </c>
      <c r="I35" s="366">
        <f t="shared" si="1"/>
        <v>78738.120772023729</v>
      </c>
      <c r="J35" s="366">
        <f t="shared" si="2"/>
        <v>124378.03208755392</v>
      </c>
    </row>
    <row r="36" spans="2:10">
      <c r="B36" s="344">
        <v>13</v>
      </c>
      <c r="C36" s="344">
        <f t="shared" si="3"/>
        <v>2034</v>
      </c>
      <c r="D36" s="347">
        <f>'Q_ES-2. B&amp;C Summary Backup'!M24</f>
        <v>8825468.5358215962</v>
      </c>
      <c r="E36" s="366">
        <f>'Q_ES-2. B&amp;C Summary Backup'!N24</f>
        <v>3662116.8964412776</v>
      </c>
      <c r="F36" s="366">
        <f t="shared" si="0"/>
        <v>6009714.6255353456</v>
      </c>
      <c r="G36" s="366"/>
      <c r="H36" s="345">
        <f>'Q_ES-2. B&amp;C Summary Backup'!E70</f>
        <v>177333.33333333334</v>
      </c>
      <c r="I36" s="366">
        <f t="shared" si="1"/>
        <v>73587.028758900677</v>
      </c>
      <c r="J36" s="366">
        <f t="shared" si="2"/>
        <v>120755.37095879023</v>
      </c>
    </row>
    <row r="37" spans="2:10">
      <c r="B37" s="344">
        <v>14</v>
      </c>
      <c r="C37" s="344">
        <f t="shared" si="3"/>
        <v>2035</v>
      </c>
      <c r="D37" s="347">
        <f>'Q_ES-2. B&amp;C Summary Backup'!M25</f>
        <v>8834497.1994844917</v>
      </c>
      <c r="E37" s="366">
        <f>'Q_ES-2. B&amp;C Summary Backup'!N25</f>
        <v>3425915.750901022</v>
      </c>
      <c r="F37" s="366">
        <f t="shared" si="0"/>
        <v>5840643.4040339235</v>
      </c>
      <c r="G37" s="366"/>
      <c r="H37" s="345">
        <f>'Q_ES-2. B&amp;C Summary Backup'!E71</f>
        <v>177333.33333333334</v>
      </c>
      <c r="I37" s="366">
        <f t="shared" si="1"/>
        <v>68772.924073738948</v>
      </c>
      <c r="J37" s="366">
        <f t="shared" si="2"/>
        <v>117238.22423183515</v>
      </c>
    </row>
    <row r="38" spans="2:10">
      <c r="B38" s="344">
        <v>15</v>
      </c>
      <c r="C38" s="344">
        <f t="shared" si="3"/>
        <v>2036</v>
      </c>
      <c r="D38" s="347">
        <f>'Q_ES-2. B&amp;C Summary Backup'!M26</f>
        <v>8843525.8631473873</v>
      </c>
      <c r="E38" s="366">
        <f>'Q_ES-2. B&amp;C Summary Backup'!N26</f>
        <v>3204925.9869010504</v>
      </c>
      <c r="F38" s="366">
        <f t="shared" si="0"/>
        <v>5676322.7323730206</v>
      </c>
      <c r="G38" s="366"/>
      <c r="H38" s="345">
        <f>'Q_ES-2. B&amp;C Summary Backup'!E72</f>
        <v>177333.33333333334</v>
      </c>
      <c r="I38" s="366">
        <f t="shared" si="1"/>
        <v>64273.760816578455</v>
      </c>
      <c r="J38" s="366">
        <f t="shared" si="2"/>
        <v>113823.51867168461</v>
      </c>
    </row>
    <row r="39" spans="2:10">
      <c r="B39" s="344">
        <v>16</v>
      </c>
      <c r="C39" s="344">
        <f t="shared" si="3"/>
        <v>2037</v>
      </c>
      <c r="D39" s="347">
        <f>'Q_ES-2. B&amp;C Summary Backup'!M27</f>
        <v>8852554.5268102791</v>
      </c>
      <c r="E39" s="366">
        <f>'Q_ES-2. B&amp;C Summary Backup'!N27</f>
        <v>2998168.465152523</v>
      </c>
      <c r="F39" s="366">
        <f t="shared" si="0"/>
        <v>5516619.3087515291</v>
      </c>
      <c r="G39" s="366"/>
      <c r="H39" s="345">
        <f>'Q_ES-2. B&amp;C Summary Backup'!E73</f>
        <v>177333.33333333334</v>
      </c>
      <c r="I39" s="366">
        <f t="shared" si="1"/>
        <v>60068.935342596691</v>
      </c>
      <c r="J39" s="366">
        <f t="shared" si="2"/>
        <v>110508.27055503362</v>
      </c>
    </row>
    <row r="40" spans="2:10">
      <c r="B40" s="344">
        <v>17</v>
      </c>
      <c r="C40" s="344">
        <f t="shared" si="3"/>
        <v>2038</v>
      </c>
      <c r="D40" s="347">
        <f>'Q_ES-2. B&amp;C Summary Backup'!M28</f>
        <v>8861583.1904731747</v>
      </c>
      <c r="E40" s="366">
        <f>'Q_ES-2. B&amp;C Summary Backup'!N28</f>
        <v>2804727.0593297146</v>
      </c>
      <c r="F40" s="366">
        <f t="shared" si="0"/>
        <v>5361403.5664578481</v>
      </c>
      <c r="G40" s="366"/>
      <c r="H40" s="345">
        <f>'Q_ES-2. B&amp;C Summary Backup'!E74</f>
        <v>177333.33333333334</v>
      </c>
      <c r="I40" s="366">
        <f t="shared" si="1"/>
        <v>56139.191908968867</v>
      </c>
      <c r="J40" s="366">
        <f t="shared" si="2"/>
        <v>107289.58306313943</v>
      </c>
    </row>
    <row r="41" spans="2:10">
      <c r="B41" s="344">
        <v>18</v>
      </c>
      <c r="C41" s="344">
        <f t="shared" si="3"/>
        <v>2039</v>
      </c>
      <c r="D41" s="347">
        <f>'Q_ES-2. B&amp;C Summary Backup'!M29</f>
        <v>8870611.8541360702</v>
      </c>
      <c r="E41" s="366">
        <f>'Q_ES-2. B&amp;C Summary Backup'!N29</f>
        <v>2623744.6015415923</v>
      </c>
      <c r="F41" s="366">
        <f t="shared" si="0"/>
        <v>5210549.5693766037</v>
      </c>
      <c r="G41" s="366"/>
      <c r="H41" s="345">
        <f>'Q_ES-2. B&amp;C Summary Backup'!E75</f>
        <v>177333.33333333334</v>
      </c>
      <c r="I41" s="366">
        <f t="shared" si="1"/>
        <v>52466.534494363426</v>
      </c>
      <c r="J41" s="366">
        <f t="shared" si="2"/>
        <v>104164.64375062082</v>
      </c>
    </row>
    <row r="42" spans="2:10">
      <c r="B42" s="344">
        <v>19</v>
      </c>
      <c r="C42" s="344">
        <f t="shared" si="3"/>
        <v>2040</v>
      </c>
      <c r="D42" s="347">
        <f>'Q_ES-2. B&amp;C Summary Backup'!M30</f>
        <v>8879640.5177989658</v>
      </c>
      <c r="E42" s="366">
        <f>'Q_ES-2. B&amp;C Summary Backup'!N30</f>
        <v>2454419.0886372034</v>
      </c>
      <c r="F42" s="366">
        <f t="shared" si="0"/>
        <v>5063934.910413757</v>
      </c>
      <c r="G42" s="366"/>
      <c r="H42" s="345">
        <f>'Q_ES-2. B&amp;C Summary Backup'!E76</f>
        <v>177333.33333333334</v>
      </c>
      <c r="I42" s="366">
        <f t="shared" si="1"/>
        <v>49034.144387255539</v>
      </c>
      <c r="J42" s="366">
        <f t="shared" si="2"/>
        <v>101130.72208798137</v>
      </c>
    </row>
    <row r="43" spans="2:10">
      <c r="B43" s="344">
        <v>20</v>
      </c>
      <c r="C43" s="344">
        <f t="shared" si="3"/>
        <v>2041</v>
      </c>
      <c r="D43" s="347">
        <f>'Q_ES-2. B&amp;C Summary Backup'!M31</f>
        <v>8888669.1814618614</v>
      </c>
      <c r="E43" s="366">
        <f>'Q_ES-2. B&amp;C Summary Backup'!N31</f>
        <v>2296000.132568995</v>
      </c>
      <c r="F43" s="366">
        <f t="shared" si="0"/>
        <v>4921440.6127587287</v>
      </c>
      <c r="G43" s="366"/>
      <c r="H43" s="345">
        <f>'Q_ES-2. B&amp;C Summary Backup'!E77</f>
        <v>177333.33333333334</v>
      </c>
      <c r="I43" s="366">
        <f t="shared" si="1"/>
        <v>45826.303165659388</v>
      </c>
      <c r="J43" s="366">
        <f t="shared" si="2"/>
        <v>98185.167075710066</v>
      </c>
    </row>
    <row r="44" spans="2:10">
      <c r="B44" s="344">
        <v>21</v>
      </c>
      <c r="C44" s="344">
        <f t="shared" si="3"/>
        <v>2042</v>
      </c>
      <c r="D44" s="347">
        <f>'Q_ES-2. B&amp;C Summary Backup'!M32</f>
        <v>8897697.8451247551</v>
      </c>
      <c r="E44" s="366">
        <f>'Q_ES-2. B&amp;C Summary Backup'!N32</f>
        <v>2147785.6391168679</v>
      </c>
      <c r="F44" s="366">
        <f t="shared" si="0"/>
        <v>4782951.0339044435</v>
      </c>
      <c r="G44" s="366"/>
      <c r="H44" s="345">
        <f>'Q_ES-2. B&amp;C Summary Backup'!E78</f>
        <v>177333.33333333334</v>
      </c>
      <c r="I44" s="366">
        <f t="shared" si="1"/>
        <v>42828.32071556952</v>
      </c>
      <c r="J44" s="366">
        <f t="shared" si="2"/>
        <v>95325.404927873868</v>
      </c>
    </row>
    <row r="45" spans="2:10">
      <c r="B45" s="344">
        <v>22</v>
      </c>
      <c r="C45" s="344">
        <f t="shared" si="3"/>
        <v>2043</v>
      </c>
      <c r="D45" s="347">
        <f>'Q_ES-2. B&amp;C Summary Backup'!M33</f>
        <v>8906726.5087876488</v>
      </c>
      <c r="E45" s="366">
        <f>'Q_ES-2. B&amp;C Summary Backup'!N33</f>
        <v>2009118.7002850999</v>
      </c>
      <c r="F45" s="366">
        <f t="shared" si="0"/>
        <v>4648353.7723484058</v>
      </c>
      <c r="G45" s="366"/>
      <c r="H45" s="345">
        <f>'Q_ES-2. B&amp;C Summary Backup'!E79</f>
        <v>177333.33333333334</v>
      </c>
      <c r="I45" s="366">
        <f t="shared" si="1"/>
        <v>40026.467958476183</v>
      </c>
      <c r="J45" s="366">
        <f t="shared" si="2"/>
        <v>92548.936823178505</v>
      </c>
    </row>
    <row r="46" spans="2:10">
      <c r="B46" s="344">
        <v>23</v>
      </c>
      <c r="C46" s="344">
        <f t="shared" si="3"/>
        <v>2044</v>
      </c>
      <c r="D46" s="347">
        <f>'Q_ES-2. B&amp;C Summary Backup'!M34</f>
        <v>8915755.1724505443</v>
      </c>
      <c r="E46" s="366">
        <f>'Q_ES-2. B&amp;C Summary Backup'!N34</f>
        <v>1879384.6866287361</v>
      </c>
      <c r="F46" s="366">
        <f t="shared" si="0"/>
        <v>4517539.5769000603</v>
      </c>
      <c r="G46" s="366"/>
      <c r="H46" s="345">
        <f>'Q_ES-2. B&amp;C Summary Backup'!E80</f>
        <v>177333.33333333334</v>
      </c>
      <c r="I46" s="366">
        <f t="shared" si="1"/>
        <v>37407.913979884281</v>
      </c>
      <c r="J46" s="366">
        <f t="shared" si="2"/>
        <v>89853.336721532527</v>
      </c>
    </row>
    <row r="47" spans="2:10">
      <c r="B47" s="344">
        <v>24</v>
      </c>
      <c r="C47" s="344">
        <f t="shared" si="3"/>
        <v>2045</v>
      </c>
      <c r="D47" s="347">
        <f>'Q_ES-2. B&amp;C Summary Backup'!M35</f>
        <v>8924783.8361134361</v>
      </c>
      <c r="E47" s="366">
        <f>'Q_ES-2. B&amp;C Summary Backup'!N35</f>
        <v>1758008.5266497878</v>
      </c>
      <c r="F47" s="366">
        <f t="shared" si="0"/>
        <v>4390402.2585217431</v>
      </c>
      <c r="G47" s="366"/>
      <c r="H47" s="345">
        <f>'Q_ES-2. B&amp;C Summary Backup'!E81</f>
        <v>177333.33333333334</v>
      </c>
      <c r="I47" s="366">
        <f t="shared" si="1"/>
        <v>34960.66727091989</v>
      </c>
      <c r="J47" s="366">
        <f t="shared" si="2"/>
        <v>87236.249244206352</v>
      </c>
    </row>
    <row r="48" spans="2:10">
      <c r="B48" s="344">
        <v>25</v>
      </c>
      <c r="C48" s="344">
        <f t="shared" si="3"/>
        <v>2046</v>
      </c>
      <c r="D48" s="347">
        <f>'Q_ES-2. B&amp;C Summary Backup'!M36</f>
        <v>8933812.4997763317</v>
      </c>
      <c r="E48" s="366">
        <f>'Q_ES-2. B&amp;C Summary Backup'!N36</f>
        <v>1644452.1612305148</v>
      </c>
      <c r="F48" s="366">
        <f t="shared" si="0"/>
        <v>4266838.6046326058</v>
      </c>
      <c r="G48" s="366"/>
      <c r="H48" s="345">
        <f>'Q_ES-2. B&amp;C Summary Backup'!E82</f>
        <v>177333.33333333334</v>
      </c>
      <c r="I48" s="366">
        <f t="shared" si="1"/>
        <v>32673.520813943818</v>
      </c>
      <c r="J48" s="366">
        <f t="shared" si="2"/>
        <v>84695.387615734318</v>
      </c>
    </row>
    <row r="49" spans="2:10">
      <c r="B49" s="344">
        <v>26</v>
      </c>
      <c r="C49" s="344">
        <f t="shared" si="3"/>
        <v>2047</v>
      </c>
      <c r="D49" s="347">
        <f>'Q_ES-2. B&amp;C Summary Backup'!M37</f>
        <v>8942841.1634392273</v>
      </c>
      <c r="E49" s="366">
        <f>'Q_ES-2. B&amp;C Summary Backup'!N37</f>
        <v>1538212.161844824</v>
      </c>
      <c r="F49" s="366">
        <f t="shared" si="0"/>
        <v>4146748.2958067907</v>
      </c>
      <c r="G49" s="366"/>
      <c r="H49" s="345">
        <f>'Q_ES-2. B&amp;C Summary Backup'!E83</f>
        <v>177333.33333333334</v>
      </c>
      <c r="I49" s="366">
        <f t="shared" si="1"/>
        <v>30536.000760695162</v>
      </c>
      <c r="J49" s="366">
        <f t="shared" si="2"/>
        <v>82228.53166576146</v>
      </c>
    </row>
    <row r="50" spans="2:10">
      <c r="B50" s="344">
        <v>27</v>
      </c>
      <c r="C50" s="344">
        <f t="shared" si="3"/>
        <v>2048</v>
      </c>
      <c r="D50" s="347">
        <f>'Q_ES-2. B&amp;C Summary Backup'!M38</f>
        <v>8951869.8271021228</v>
      </c>
      <c r="E50" s="366">
        <f>'Q_ES-2. B&amp;C Summary Backup'!N38</f>
        <v>1438817.5020128735</v>
      </c>
      <c r="F50" s="366">
        <f t="shared" si="0"/>
        <v>4030033.8247991176</v>
      </c>
      <c r="G50" s="366"/>
      <c r="H50" s="345">
        <f>'Q_ES-2. B&amp;C Summary Backup'!E84</f>
        <v>177333.33333333334</v>
      </c>
      <c r="I50" s="366">
        <f t="shared" si="1"/>
        <v>28538.318467939396</v>
      </c>
      <c r="J50" s="366">
        <f t="shared" si="2"/>
        <v>79833.525889088807</v>
      </c>
    </row>
    <row r="51" spans="2:10">
      <c r="B51" s="344">
        <v>28</v>
      </c>
      <c r="C51" s="344">
        <f t="shared" si="3"/>
        <v>2049</v>
      </c>
      <c r="D51" s="347">
        <f>'Q_ES-2. B&amp;C Summary Backup'!M39</f>
        <v>8960898.4907650184</v>
      </c>
      <c r="E51" s="366">
        <f>'Q_ES-2. B&amp;C Summary Backup'!N39</f>
        <v>1345827.4721414261</v>
      </c>
      <c r="F51" s="366">
        <f t="shared" si="0"/>
        <v>3916600.4178333413</v>
      </c>
      <c r="G51" s="366"/>
      <c r="H51" s="345">
        <f>'Q_ES-2. B&amp;C Summary Backup'!E85</f>
        <v>177333.33333333334</v>
      </c>
      <c r="I51" s="366">
        <f t="shared" si="1"/>
        <v>26671.325670971404</v>
      </c>
      <c r="J51" s="366">
        <f t="shared" si="2"/>
        <v>77508.277562222138</v>
      </c>
    </row>
    <row r="52" spans="2:10">
      <c r="B52" s="344">
        <v>29</v>
      </c>
      <c r="C52" s="344">
        <f t="shared" si="3"/>
        <v>2050</v>
      </c>
      <c r="D52" s="347">
        <f>'Q_ES-2. B&amp;C Summary Backup'!M40</f>
        <v>8969927.1544279121</v>
      </c>
      <c r="E52" s="366">
        <f>'Q_ES-2. B&amp;C Summary Backup'!N40</f>
        <v>1258829.7285264255</v>
      </c>
      <c r="F52" s="366">
        <f t="shared" si="0"/>
        <v>3806355.9580898904</v>
      </c>
      <c r="G52" s="366"/>
      <c r="H52" s="345">
        <f>'Q_ES-2. B&amp;C Summary Backup'!E86</f>
        <v>177333.33333333334</v>
      </c>
      <c r="I52" s="366">
        <f t="shared" si="1"/>
        <v>24926.472589692901</v>
      </c>
      <c r="J52" s="366">
        <f t="shared" si="2"/>
        <v>75250.754914778794</v>
      </c>
    </row>
    <row r="53" spans="2:10">
      <c r="B53" s="344">
        <v>30</v>
      </c>
      <c r="C53" s="344">
        <f t="shared" si="3"/>
        <v>2051</v>
      </c>
      <c r="D53" s="347">
        <f>'Q_ES-2. B&amp;C Summary Backup'!M41</f>
        <v>8978955.8180908076</v>
      </c>
      <c r="E53" s="366">
        <f>'Q_ES-2. B&amp;C Summary Backup'!N41</f>
        <v>1177438.4678874658</v>
      </c>
      <c r="F53" s="366">
        <f t="shared" si="0"/>
        <v>3699210.9113317309</v>
      </c>
      <c r="G53" s="366"/>
      <c r="H53" s="345">
        <f>'Q_ES-2. B&amp;C Summary Backup'!E87</f>
        <v>177333.33333333334</v>
      </c>
      <c r="I53" s="366">
        <f t="shared" si="1"/>
        <v>23295.768775413926</v>
      </c>
      <c r="J53" s="366">
        <f t="shared" si="2"/>
        <v>73058.985354154167</v>
      </c>
    </row>
    <row r="54" spans="2:10">
      <c r="B54" s="344">
        <v>31</v>
      </c>
      <c r="C54" s="344">
        <f t="shared" si="3"/>
        <v>2052</v>
      </c>
      <c r="D54" s="347">
        <f>'Q_ES-2. B&amp;C Summary Backup'!M42</f>
        <v>8987984.4817536995</v>
      </c>
      <c r="E54" s="366">
        <f>'Q_ES-2. B&amp;C Summary Backup'!N42</f>
        <v>1101292.7193588093</v>
      </c>
      <c r="F54" s="366">
        <f t="shared" si="0"/>
        <v>3595078.2536087027</v>
      </c>
      <c r="G54" s="366"/>
      <c r="H54" s="345">
        <f>'Q_ES-2. B&amp;C Summary Backup'!E88</f>
        <v>177333.33333333334</v>
      </c>
      <c r="I54" s="366">
        <f t="shared" si="1"/>
        <v>21771.746519078431</v>
      </c>
      <c r="J54" s="366">
        <f t="shared" si="2"/>
        <v>70931.053741897238</v>
      </c>
    </row>
    <row r="55" spans="2:10">
      <c r="B55" s="344">
        <v>32</v>
      </c>
      <c r="C55" s="344">
        <f t="shared" si="3"/>
        <v>2053</v>
      </c>
      <c r="D55" s="347">
        <f>'Q_ES-2. B&amp;C Summary Backup'!M43</f>
        <v>8997013.1454165932</v>
      </c>
      <c r="E55" s="366">
        <f>'Q_ES-2. B&amp;C Summary Backup'!N43</f>
        <v>1030054.7463810075</v>
      </c>
      <c r="F55" s="366">
        <f t="shared" si="0"/>
        <v>3493873.4009823729</v>
      </c>
      <c r="G55" s="366"/>
      <c r="H55" s="345">
        <f>'Q_ES-2. B&amp;C Summary Backup'!E89</f>
        <v>177333.33333333334</v>
      </c>
      <c r="I55" s="366">
        <f t="shared" si="1"/>
        <v>20347.426653344333</v>
      </c>
      <c r="J55" s="366">
        <f t="shared" si="2"/>
        <v>68865.100720288596</v>
      </c>
    </row>
    <row r="56" spans="2:10">
      <c r="B56" s="344">
        <v>33</v>
      </c>
      <c r="C56" s="344">
        <f t="shared" si="3"/>
        <v>2054</v>
      </c>
      <c r="D56" s="347">
        <f>'Q_ES-2. B&amp;C Summary Backup'!M44</f>
        <v>9006041.8090794925</v>
      </c>
      <c r="E56" s="366">
        <f>'Q_ES-2. B&amp;C Summary Backup'!N44</f>
        <v>963408.55142309214</v>
      </c>
      <c r="F56" s="366">
        <f t="shared" si="0"/>
        <v>3395514.1412149933</v>
      </c>
      <c r="G56" s="366"/>
      <c r="H56" s="345">
        <f>'Q_ES-2. B&amp;C Summary Backup'!E90</f>
        <v>177333.33333333334</v>
      </c>
      <c r="I56" s="366">
        <f t="shared" si="1"/>
        <v>19016.28659191059</v>
      </c>
      <c r="J56" s="366">
        <f t="shared" si="2"/>
        <v>66859.321087658827</v>
      </c>
    </row>
    <row r="57" spans="2:10">
      <c r="B57" s="344">
        <v>34</v>
      </c>
      <c r="C57" s="344">
        <f t="shared" si="3"/>
        <v>2055</v>
      </c>
      <c r="D57" s="347">
        <f>'Q_ES-2. B&amp;C Summary Backup'!M45</f>
        <v>9015070.4727423843</v>
      </c>
      <c r="E57" s="366">
        <f>'Q_ES-2. B&amp;C Summary Backup'!N45</f>
        <v>901058.47692004615</v>
      </c>
      <c r="F57" s="366">
        <f t="shared" si="0"/>
        <v>3299920.5673678117</v>
      </c>
      <c r="G57" s="366"/>
      <c r="H57" s="345">
        <f>'Q_ES-2. B&amp;C Summary Backup'!E91</f>
        <v>177333.33333333334</v>
      </c>
      <c r="I57" s="366">
        <f t="shared" si="1"/>
        <v>17772.230459729522</v>
      </c>
      <c r="J57" s="366">
        <f t="shared" si="2"/>
        <v>64911.962221027992</v>
      </c>
    </row>
    <row r="58" spans="2:10">
      <c r="B58" s="344">
        <v>35</v>
      </c>
      <c r="C58" s="344">
        <f t="shared" si="3"/>
        <v>2056</v>
      </c>
      <c r="D58" s="347">
        <f>'Q_ES-2. B&amp;C Summary Backup'!M46</f>
        <v>9014250.617825361</v>
      </c>
      <c r="E58" s="366">
        <f>'Q_ES-2. B&amp;C Summary Backup'!N46</f>
        <v>841805.45504102926</v>
      </c>
      <c r="F58" s="366">
        <f t="shared" si="0"/>
        <v>3203515.0132591319</v>
      </c>
      <c r="G58" s="366"/>
      <c r="H58" s="345">
        <f>'Q_ES-2. B&amp;C Summary Backup'!E92</f>
        <v>177333.33333333334</v>
      </c>
      <c r="I58" s="366">
        <f t="shared" si="1"/>
        <v>16609.561177317311</v>
      </c>
      <c r="J58" s="366">
        <f t="shared" si="2"/>
        <v>63021.322544687362</v>
      </c>
    </row>
    <row r="59" spans="2:10">
      <c r="B59" s="344">
        <v>36</v>
      </c>
      <c r="C59" s="344">
        <f t="shared" si="3"/>
        <v>2057</v>
      </c>
      <c r="D59" s="347">
        <f>'Q_ES-2. B&amp;C Summary Backup'!M47</f>
        <v>9023279.2814882584</v>
      </c>
      <c r="E59" s="366">
        <f>'Q_ES-2. B&amp;C Summary Backup'!N47</f>
        <v>787295.89428501367</v>
      </c>
      <c r="F59" s="366">
        <f t="shared" si="0"/>
        <v>3113323.9324556519</v>
      </c>
      <c r="G59" s="366"/>
      <c r="H59" s="345">
        <f>'Q_ES-2. B&amp;C Summary Backup'!E93</f>
        <v>177333.33333333334</v>
      </c>
      <c r="I59" s="366">
        <f t="shared" si="1"/>
        <v>15522.954371324589</v>
      </c>
      <c r="J59" s="366">
        <f t="shared" si="2"/>
        <v>61185.750043385793</v>
      </c>
    </row>
    <row r="60" spans="2:10">
      <c r="B60" t="s">
        <v>28</v>
      </c>
      <c r="C60"/>
      <c r="D60" s="176">
        <f>SUBTOTAL(109,Table7673[Present Value (PV) Project Benefits])</f>
        <v>275155061.8251794</v>
      </c>
      <c r="E60" s="176">
        <f>SUBTOTAL(109,Table7673[Project Benefits at 7% Discount Rate*])</f>
        <v>78594801.55840686</v>
      </c>
      <c r="F60" s="176">
        <f>SUBTOTAL(109,Table7673[Project Benefits at 3% Discount Rate])</f>
        <v>152575856.97057006</v>
      </c>
      <c r="G60" s="176"/>
      <c r="H60" s="345">
        <f>SUBTOTAL(109,Table7774[Present Value (PV) Project Costs])</f>
        <v>49320000.000000075</v>
      </c>
      <c r="I60" s="347">
        <f>SUBTOTAL(109,Table7774[Project Costs at 7% Discount Rate])</f>
        <v>35643258.872770384</v>
      </c>
      <c r="J60" s="347">
        <f>SUBTOTAL(109,Table7774[Project Costs at 3% Discount Rate])</f>
        <v>42284542.222848713</v>
      </c>
    </row>
    <row r="61" spans="2:10">
      <c r="G61" s="67"/>
    </row>
  </sheetData>
  <mergeCells count="3">
    <mergeCell ref="A1:J1"/>
    <mergeCell ref="B21:D21"/>
    <mergeCell ref="A6:J6"/>
  </mergeCells>
  <dataValidations disablePrompts="1" count="1">
    <dataValidation allowBlank="1" showInputMessage="1" showErrorMessage="1" sqref="A1" xr:uid="{6E0F43AE-17AC-44F6-B4B2-55E1DB1D5D15}"/>
  </dataValidations>
  <pageMargins left="0.7" right="0.7" top="0.75" bottom="0.75" header="0.3" footer="0.3"/>
  <pageSetup paperSize="3" scale="50" orientation="landscape" r:id="rId1"/>
  <drawing r:id="rId2"/>
  <tableParts count="3">
    <tablePart r:id="rId3"/>
    <tablePart r:id="rId4"/>
    <tablePart r:id="rId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567D3-60DB-446F-B20C-38B81C619F71}">
  <dimension ref="A1:K13"/>
  <sheetViews>
    <sheetView showGridLines="0" workbookViewId="0">
      <selection activeCell="B17" sqref="B17"/>
    </sheetView>
  </sheetViews>
  <sheetFormatPr defaultColWidth="9.140625" defaultRowHeight="14.25"/>
  <cols>
    <col min="1" max="1" width="19" style="106" customWidth="1"/>
    <col min="2" max="2" width="18.7109375" style="106" customWidth="1"/>
    <col min="3" max="3" width="19.28515625" style="106" customWidth="1"/>
    <col min="4" max="4" width="17" style="106" customWidth="1"/>
    <col min="5" max="5" width="13" style="106" customWidth="1"/>
    <col min="6" max="6" width="32.42578125" style="106" customWidth="1"/>
    <col min="7" max="7" width="17.85546875" style="106" customWidth="1"/>
    <col min="8" max="10" width="9.140625" style="106"/>
    <col min="11" max="11" width="9.7109375" style="106" customWidth="1"/>
    <col min="12" max="16384" width="9.140625" style="106"/>
  </cols>
  <sheetData>
    <row r="1" spans="1:11">
      <c r="A1" s="465" t="s">
        <v>58</v>
      </c>
      <c r="B1" s="466"/>
      <c r="C1" s="466"/>
      <c r="D1" s="466"/>
      <c r="E1" s="466"/>
      <c r="F1" s="466"/>
      <c r="G1" s="466"/>
      <c r="H1" s="466"/>
      <c r="I1" s="466"/>
      <c r="J1" s="466"/>
      <c r="K1" s="466"/>
    </row>
    <row r="2" spans="1:11">
      <c r="A2" s="87" t="s">
        <v>1</v>
      </c>
      <c r="B2" s="63" t="s">
        <v>59</v>
      </c>
      <c r="C2" s="82"/>
      <c r="D2" s="82"/>
      <c r="E2" s="82"/>
      <c r="F2" s="82"/>
      <c r="G2" s="82"/>
      <c r="H2" s="82"/>
      <c r="I2" s="82"/>
      <c r="J2" s="82"/>
      <c r="K2" s="82"/>
    </row>
    <row r="3" spans="1:11">
      <c r="A3" s="87" t="s">
        <v>4</v>
      </c>
      <c r="B3" s="88">
        <f ca="1">TODAY()</f>
        <v>45159</v>
      </c>
      <c r="C3" s="82"/>
      <c r="D3" s="82"/>
      <c r="E3" s="82"/>
      <c r="F3" s="82"/>
      <c r="G3" s="82"/>
      <c r="H3" s="82"/>
      <c r="I3" s="82"/>
      <c r="J3" s="82"/>
      <c r="K3" s="82"/>
    </row>
    <row r="4" spans="1:11" ht="24" customHeight="1" thickBot="1">
      <c r="A4" s="87"/>
      <c r="B4" s="107"/>
      <c r="C4" s="82"/>
      <c r="D4" s="82"/>
      <c r="E4" s="82"/>
      <c r="F4" s="82"/>
      <c r="G4" s="82"/>
      <c r="H4" s="82"/>
      <c r="I4" s="82"/>
      <c r="J4" s="82"/>
      <c r="K4" s="82"/>
    </row>
    <row r="5" spans="1:11" ht="257.25" customHeight="1" thickBot="1">
      <c r="A5" s="467" t="s">
        <v>60</v>
      </c>
      <c r="B5" s="468"/>
      <c r="C5" s="468"/>
      <c r="D5" s="468"/>
      <c r="E5" s="468"/>
      <c r="F5" s="468"/>
      <c r="G5" s="468"/>
      <c r="H5" s="468"/>
      <c r="I5" s="468"/>
      <c r="J5" s="468"/>
      <c r="K5" s="469"/>
    </row>
    <row r="7" spans="1:11">
      <c r="B7" s="108" t="s">
        <v>61</v>
      </c>
      <c r="C7" s="108"/>
      <c r="D7" s="108"/>
      <c r="E7" s="108"/>
    </row>
    <row r="8" spans="1:11" s="109" customFormat="1" ht="25.5">
      <c r="B8" s="89" t="s">
        <v>62</v>
      </c>
      <c r="C8" s="89" t="s">
        <v>63</v>
      </c>
      <c r="D8" s="89" t="s">
        <v>64</v>
      </c>
      <c r="E8" s="89" t="s">
        <v>65</v>
      </c>
    </row>
    <row r="9" spans="1:11">
      <c r="B9" s="81" t="s">
        <v>66</v>
      </c>
      <c r="C9" s="68">
        <f>'MM_ES-2. B&amp;C Summary Backup'!C52-'MM_ES-2. B&amp;C Summary Backup'!C17</f>
        <v>17900460</v>
      </c>
      <c r="D9" s="68">
        <f>C9*0.06</f>
        <v>1074027.5999999999</v>
      </c>
      <c r="E9" s="93">
        <f>D9/C9</f>
        <v>5.9999999999999991E-2</v>
      </c>
    </row>
    <row r="10" spans="1:11" ht="28.5">
      <c r="B10" s="81" t="s">
        <v>67</v>
      </c>
      <c r="C10" s="68">
        <f>'MM_ES-2. B&amp;C Summary Backup'!D52-'MM_ES-2. B&amp;C Summary Backup'!D17</f>
        <v>5800295.9740021955</v>
      </c>
      <c r="D10" s="68">
        <f>C10*0.23</f>
        <v>1334068.074020505</v>
      </c>
      <c r="E10" s="93">
        <f>D10/C10</f>
        <v>0.23</v>
      </c>
    </row>
    <row r="11" spans="1:11" ht="28.5">
      <c r="B11" s="81" t="s">
        <v>68</v>
      </c>
      <c r="C11" s="68">
        <f>'MM_ES-2. B&amp;C Summary Backup'!E52-'MM_ES-2. B&amp;C Summary Backup'!E17</f>
        <v>1885992.2784119518</v>
      </c>
      <c r="D11" s="68">
        <f>C11*0.23</f>
        <v>433778.22403474897</v>
      </c>
      <c r="E11" s="93">
        <f>D11/C11</f>
        <v>0.23000000000000004</v>
      </c>
    </row>
    <row r="12" spans="1:11">
      <c r="B12" s="110" t="s">
        <v>69</v>
      </c>
      <c r="C12" s="95">
        <f>'MM_ES-2. B&amp;C Summary Backup'!F52-'MM_ES-2. B&amp;C Summary Backup'!F17</f>
        <v>791864266.79008722</v>
      </c>
      <c r="D12" s="95" t="e">
        <f>C12*'MM_3B. TTS Backup 2028'!#REF!</f>
        <v>#REF!</v>
      </c>
      <c r="E12" s="111" t="e">
        <f>D12/C12</f>
        <v>#REF!</v>
      </c>
    </row>
    <row r="13" spans="1:11">
      <c r="C13" s="68">
        <f>SUM(C9:C12)</f>
        <v>817451015.04250133</v>
      </c>
      <c r="D13" s="68" t="e">
        <f t="shared" ref="D13" si="0">SUM(D9:D12)</f>
        <v>#REF!</v>
      </c>
      <c r="E13" s="93" t="e">
        <f>D13/C13</f>
        <v>#REF!</v>
      </c>
    </row>
  </sheetData>
  <mergeCells count="2">
    <mergeCell ref="A1:K1"/>
    <mergeCell ref="A5:K5"/>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B8DB-DBEC-4671-87AD-425B3C938B1E}">
  <sheetPr>
    <tabColor theme="2" tint="-9.9978637043366805E-2"/>
    <pageSetUpPr fitToPage="1"/>
  </sheetPr>
  <dimension ref="A1:X98"/>
  <sheetViews>
    <sheetView showGridLines="0" zoomScale="70" zoomScaleNormal="70" workbookViewId="0">
      <selection activeCell="F13" sqref="F13"/>
    </sheetView>
  </sheetViews>
  <sheetFormatPr defaultColWidth="9.140625" defaultRowHeight="12.75"/>
  <cols>
    <col min="1" max="1" width="17" style="82" customWidth="1"/>
    <col min="2" max="2" width="17.5703125" style="82" customWidth="1"/>
    <col min="3" max="3" width="18.5703125" style="82" bestFit="1" customWidth="1"/>
    <col min="4" max="5" width="19.28515625" style="82" bestFit="1" customWidth="1"/>
    <col min="6" max="6" width="19.7109375" style="82" bestFit="1" customWidth="1"/>
    <col min="7" max="7" width="20.140625" style="82" bestFit="1" customWidth="1"/>
    <col min="8" max="8" width="20.140625" style="82" customWidth="1"/>
    <col min="9" max="9" width="18.85546875" style="82" bestFit="1" customWidth="1"/>
    <col min="10" max="10" width="18.5703125" style="82" bestFit="1" customWidth="1"/>
    <col min="11" max="11" width="17.140625" style="82" bestFit="1" customWidth="1"/>
    <col min="12" max="12" width="17.42578125" style="82" bestFit="1" customWidth="1"/>
    <col min="13" max="14" width="19.28515625" style="82" bestFit="1" customWidth="1"/>
    <col min="15" max="15" width="20.5703125" style="82" bestFit="1" customWidth="1"/>
    <col min="16" max="17" width="20.140625" style="82" bestFit="1" customWidth="1"/>
    <col min="18" max="18" width="14" style="82" bestFit="1" customWidth="1"/>
    <col min="19" max="19" width="18.28515625" style="82" customWidth="1"/>
    <col min="20" max="22" width="16.28515625" style="82" customWidth="1"/>
    <col min="23" max="24" width="19" style="82" customWidth="1"/>
    <col min="25" max="25" width="9.140625" style="82"/>
    <col min="26" max="26" width="27" style="82" customWidth="1"/>
    <col min="27" max="16384" width="9.140625" style="82"/>
  </cols>
  <sheetData>
    <row r="1" spans="1:24" ht="15" customHeight="1">
      <c r="A1" s="455" t="s">
        <v>0</v>
      </c>
      <c r="B1" s="455"/>
      <c r="C1" s="455"/>
      <c r="D1" s="455"/>
      <c r="E1" s="455"/>
      <c r="F1" s="455"/>
      <c r="G1" s="455"/>
      <c r="H1" s="455"/>
      <c r="I1" s="455"/>
      <c r="J1" s="455"/>
      <c r="K1" s="455"/>
      <c r="L1" s="455"/>
      <c r="M1" s="455"/>
      <c r="N1" s="455"/>
      <c r="O1" s="455"/>
    </row>
    <row r="2" spans="1:24" ht="15" customHeight="1">
      <c r="A2" s="62" t="s">
        <v>1</v>
      </c>
      <c r="B2" s="63" t="str">
        <f>Project_Name</f>
        <v>Completing the I-95 Missing Move and Quonset Connector Ramps</v>
      </c>
      <c r="C2" s="61"/>
      <c r="D2" s="61"/>
      <c r="E2" s="61"/>
      <c r="F2" s="61"/>
      <c r="G2" s="61"/>
      <c r="H2" s="61"/>
      <c r="I2" s="61"/>
      <c r="J2" s="61"/>
      <c r="K2" s="61"/>
    </row>
    <row r="3" spans="1:24" ht="15" customHeight="1">
      <c r="A3" s="62" t="s">
        <v>2</v>
      </c>
      <c r="B3" s="63" t="s">
        <v>56</v>
      </c>
      <c r="C3" s="61"/>
      <c r="D3" s="61"/>
      <c r="E3" s="61"/>
      <c r="F3" s="61"/>
      <c r="G3" s="61"/>
      <c r="H3" s="61"/>
      <c r="I3" s="61"/>
      <c r="J3" s="61"/>
      <c r="K3" s="61"/>
    </row>
    <row r="4" spans="1:24" ht="15" customHeight="1">
      <c r="A4" s="62" t="s">
        <v>4</v>
      </c>
      <c r="B4" s="64">
        <f>Date</f>
        <v>45159</v>
      </c>
      <c r="C4" s="61"/>
      <c r="D4" s="61"/>
      <c r="E4" s="61"/>
      <c r="F4" s="61"/>
      <c r="G4" s="61"/>
      <c r="H4" s="61"/>
      <c r="I4" s="61"/>
      <c r="J4" s="61"/>
      <c r="K4" s="61"/>
    </row>
    <row r="5" spans="1:24" ht="30" customHeight="1">
      <c r="A5" s="62"/>
      <c r="B5" s="65"/>
      <c r="C5" s="61"/>
      <c r="D5" s="61"/>
      <c r="E5" s="61"/>
      <c r="F5" s="61"/>
      <c r="G5" s="61"/>
      <c r="H5" s="61"/>
      <c r="I5" s="61"/>
      <c r="J5" s="61"/>
      <c r="K5" s="61"/>
    </row>
    <row r="6" spans="1:24" ht="30" customHeight="1" thickBot="1">
      <c r="A6" s="62"/>
      <c r="B6" s="65"/>
      <c r="C6" s="61"/>
      <c r="D6" s="61"/>
      <c r="E6" s="61"/>
      <c r="F6" s="61"/>
      <c r="G6" s="61"/>
      <c r="H6" s="61"/>
      <c r="I6" s="61"/>
      <c r="J6" s="61"/>
      <c r="K6" s="61"/>
    </row>
    <row r="7" spans="1:24" ht="136.5" customHeight="1" thickBot="1">
      <c r="A7" s="460" t="s">
        <v>70</v>
      </c>
      <c r="B7" s="463"/>
      <c r="C7" s="463"/>
      <c r="D7" s="463"/>
      <c r="E7" s="463"/>
      <c r="F7" s="463"/>
      <c r="G7" s="463"/>
      <c r="H7" s="463"/>
      <c r="I7" s="463"/>
      <c r="J7" s="463"/>
      <c r="K7" s="463"/>
      <c r="L7" s="463"/>
      <c r="M7" s="463"/>
      <c r="N7" s="463"/>
      <c r="O7" s="464"/>
    </row>
    <row r="9" spans="1:24">
      <c r="A9" s="71" t="s">
        <v>31</v>
      </c>
      <c r="B9" s="71"/>
      <c r="C9" s="71"/>
      <c r="D9" s="71"/>
      <c r="E9" s="71"/>
      <c r="F9" s="71"/>
      <c r="G9" s="71"/>
      <c r="H9" s="71"/>
      <c r="I9" s="71"/>
      <c r="J9" s="71"/>
      <c r="K9" s="71"/>
      <c r="L9" s="71"/>
      <c r="M9" s="71"/>
      <c r="N9" s="71"/>
      <c r="O9" s="71"/>
      <c r="P9" s="71"/>
      <c r="Q9" s="71"/>
      <c r="R9" s="71"/>
      <c r="S9" s="71"/>
      <c r="T9" s="71"/>
      <c r="U9" s="71"/>
      <c r="V9" s="71"/>
      <c r="W9" s="71"/>
      <c r="X9" s="71"/>
    </row>
    <row r="10" spans="1:24">
      <c r="A10" s="349"/>
      <c r="B10" s="349"/>
      <c r="C10" s="349"/>
      <c r="D10" s="349"/>
      <c r="E10" s="349"/>
      <c r="F10" s="349"/>
      <c r="G10" s="349"/>
      <c r="H10" s="349"/>
      <c r="I10" s="349"/>
      <c r="J10" s="349"/>
      <c r="K10" s="349"/>
      <c r="L10" s="349"/>
      <c r="M10" s="349"/>
      <c r="N10" s="349"/>
      <c r="O10" s="349"/>
      <c r="P10" s="71"/>
      <c r="Q10" s="71"/>
      <c r="R10" s="71"/>
      <c r="S10" s="71"/>
      <c r="T10" s="71"/>
      <c r="U10" s="71"/>
      <c r="V10" s="71"/>
      <c r="W10" s="71"/>
      <c r="X10" s="71"/>
    </row>
    <row r="11" spans="1:24" s="89" customFormat="1" ht="52.5">
      <c r="A11" s="255" t="s">
        <v>32</v>
      </c>
      <c r="B11" s="255" t="s">
        <v>21</v>
      </c>
      <c r="C11" s="331" t="s">
        <v>33</v>
      </c>
      <c r="D11" s="255" t="s">
        <v>34</v>
      </c>
      <c r="E11" s="255" t="s">
        <v>35</v>
      </c>
      <c r="F11" s="255" t="s">
        <v>36</v>
      </c>
      <c r="G11" s="332" t="s">
        <v>37</v>
      </c>
      <c r="H11" s="255" t="s">
        <v>38</v>
      </c>
      <c r="I11" s="255" t="s">
        <v>39</v>
      </c>
      <c r="J11" s="255" t="s">
        <v>40</v>
      </c>
      <c r="K11" s="255" t="s">
        <v>41</v>
      </c>
      <c r="L11" s="255" t="s">
        <v>42</v>
      </c>
      <c r="M11" s="333" t="s">
        <v>43</v>
      </c>
      <c r="N11" s="334" t="s">
        <v>44</v>
      </c>
      <c r="O11" s="335" t="s">
        <v>45</v>
      </c>
    </row>
    <row r="12" spans="1:24">
      <c r="A12" s="112">
        <v>1</v>
      </c>
      <c r="B12" s="112">
        <f>First_Year</f>
        <v>2023</v>
      </c>
      <c r="C12" s="394"/>
      <c r="D12" s="392"/>
      <c r="E12" s="392"/>
      <c r="F12" s="392"/>
      <c r="G12" s="393"/>
      <c r="H12" s="392"/>
      <c r="I12" s="392"/>
      <c r="J12" s="392"/>
      <c r="K12" s="392"/>
      <c r="L12" s="392"/>
      <c r="M12" s="391">
        <f t="shared" ref="M12:M51" si="0">SUM(C12:L12)</f>
        <v>0</v>
      </c>
      <c r="N12" s="378">
        <f>(($M12-$E12)/((1+'Q_ES-1. Executive Summary'!$F$12)^$A12))+($E12/(1+'Q_ES-1. Executive Summary'!$F$13)^$A12)</f>
        <v>0</v>
      </c>
      <c r="O12" s="377">
        <f>$M12/((1+'Q_ES-1. Executive Summary'!$F$13)^$A12)</f>
        <v>0</v>
      </c>
      <c r="U12" s="293"/>
    </row>
    <row r="13" spans="1:24">
      <c r="A13" s="112">
        <f t="shared" ref="A13:A51" si="1">A12+1</f>
        <v>2</v>
      </c>
      <c r="B13" s="112">
        <f t="shared" ref="B13:B51" si="2">IFERROR(IF(B12+1&lt;Last_Year+1,B12+1,""),"")</f>
        <v>2024</v>
      </c>
      <c r="C13" s="394"/>
      <c r="D13" s="392"/>
      <c r="E13" s="392"/>
      <c r="F13" s="392"/>
      <c r="G13" s="393"/>
      <c r="H13" s="392">
        <f>-'Q_11. Work Zone Impact Costs'!B27</f>
        <v>0</v>
      </c>
      <c r="I13" s="392"/>
      <c r="J13" s="392"/>
      <c r="K13" s="392"/>
      <c r="L13" s="392"/>
      <c r="M13" s="391">
        <f t="shared" si="0"/>
        <v>0</v>
      </c>
      <c r="N13" s="378">
        <f>(($M13-$E13)/((1+'Q_ES-1. Executive Summary'!$F$12)^$A13))+($E13/(1+'Q_ES-1. Executive Summary'!$F$13)^$A13)</f>
        <v>0</v>
      </c>
      <c r="O13" s="377">
        <f>$M13/((1+'Q_ES-1. Executive Summary'!$F$13)^$A13)</f>
        <v>0</v>
      </c>
      <c r="U13" s="293"/>
    </row>
    <row r="14" spans="1:24">
      <c r="A14" s="112">
        <f t="shared" si="1"/>
        <v>3</v>
      </c>
      <c r="B14" s="112">
        <f t="shared" si="2"/>
        <v>2025</v>
      </c>
      <c r="C14" s="394"/>
      <c r="D14" s="392"/>
      <c r="E14" s="392"/>
      <c r="F14" s="392"/>
      <c r="G14" s="393"/>
      <c r="H14" s="392">
        <f>-'Q_11. Work Zone Impact Costs'!B28</f>
        <v>-43177.42091761779</v>
      </c>
      <c r="I14" s="392"/>
      <c r="J14" s="392"/>
      <c r="K14" s="392"/>
      <c r="L14" s="392"/>
      <c r="M14" s="391">
        <f t="shared" si="0"/>
        <v>-43177.42091761779</v>
      </c>
      <c r="N14" s="378">
        <f>(($M14-$E14)/((1+'Q_ES-1. Executive Summary'!$F$12)^$A14))+($E14/(1+'Q_ES-1. Executive Summary'!$F$13)^$A14)</f>
        <v>-35245.637024674063</v>
      </c>
      <c r="O14" s="377">
        <f>$M14/((1+'Q_ES-1. Executive Summary'!$F$13)^$A14)</f>
        <v>-39513.45662513857</v>
      </c>
      <c r="U14" s="293"/>
    </row>
    <row r="15" spans="1:24">
      <c r="A15" s="112">
        <f t="shared" si="1"/>
        <v>4</v>
      </c>
      <c r="B15" s="112">
        <f t="shared" si="2"/>
        <v>2026</v>
      </c>
      <c r="C15" s="394"/>
      <c r="D15" s="392"/>
      <c r="E15" s="392"/>
      <c r="F15" s="392"/>
      <c r="G15" s="393"/>
      <c r="H15" s="392">
        <f>-'Q_11. Work Zone Impact Costs'!B29</f>
        <v>-172709.68367047116</v>
      </c>
      <c r="I15" s="392"/>
      <c r="J15" s="392"/>
      <c r="K15" s="392"/>
      <c r="L15" s="392"/>
      <c r="M15" s="391">
        <f t="shared" si="0"/>
        <v>-172709.68367047116</v>
      </c>
      <c r="N15" s="378">
        <f>(($M15-$E15)/((1+'Q_ES-1. Executive Summary'!$F$12)^$A15))+($E15/(1+'Q_ES-1. Executive Summary'!$F$13)^$A15)</f>
        <v>-131759.3907464451</v>
      </c>
      <c r="O15" s="377">
        <f>$M15/((1+'Q_ES-1. Executive Summary'!$F$13)^$A15)</f>
        <v>-153450.31699082939</v>
      </c>
      <c r="U15" s="293"/>
    </row>
    <row r="16" spans="1:24">
      <c r="A16" s="113">
        <f t="shared" si="1"/>
        <v>5</v>
      </c>
      <c r="B16" s="113">
        <f t="shared" si="2"/>
        <v>2027</v>
      </c>
      <c r="C16" s="400"/>
      <c r="D16" s="388"/>
      <c r="E16" s="388"/>
      <c r="F16" s="388"/>
      <c r="G16" s="399"/>
      <c r="H16" s="392">
        <f>-'Q_11. Work Zone Impact Costs'!B30</f>
        <v>-172709.68367047116</v>
      </c>
      <c r="I16" s="388"/>
      <c r="J16" s="388"/>
      <c r="K16" s="388"/>
      <c r="L16" s="388"/>
      <c r="M16" s="398">
        <f t="shared" si="0"/>
        <v>-172709.68367047116</v>
      </c>
      <c r="N16" s="386">
        <f>(($M16-$E16)/((1+'Q_ES-1. Executive Summary'!$F$12)^$A16))+($E16/(1+'Q_ES-1. Executive Summary'!$F$13)^$A16)</f>
        <v>-123139.61752004214</v>
      </c>
      <c r="O16" s="385">
        <f>$M16/((1+'Q_ES-1. Executive Summary'!$F$13)^$A16)</f>
        <v>-148980.89028235865</v>
      </c>
      <c r="U16" s="293"/>
    </row>
    <row r="17" spans="1:24">
      <c r="A17" s="113">
        <f t="shared" si="1"/>
        <v>6</v>
      </c>
      <c r="B17" s="113">
        <f t="shared" si="2"/>
        <v>2028</v>
      </c>
      <c r="C17" s="400">
        <f>'Q_1B. Safety Backup'!G21</f>
        <v>127043.8</v>
      </c>
      <c r="D17" s="388">
        <f>SUM('Q_2B. Emissions Backup'!C187:E187)</f>
        <v>50006.124385600131</v>
      </c>
      <c r="E17" s="388">
        <f>'Q_2B. Emissions Backup'!F187</f>
        <v>1815.0820346960099</v>
      </c>
      <c r="F17" s="388">
        <f>'Q_3D. TTS Backup All Years'!G97</f>
        <v>8580403.222532155</v>
      </c>
      <c r="G17" s="399"/>
      <c r="H17" s="449">
        <f>-'Q_11. Work Zone Impact Costs'!B31</f>
        <v>-172709.68367047116</v>
      </c>
      <c r="I17" s="388"/>
      <c r="J17" s="388"/>
      <c r="K17" s="388"/>
      <c r="L17" s="388"/>
      <c r="M17" s="398">
        <f t="shared" si="0"/>
        <v>8586558.5452819802</v>
      </c>
      <c r="N17" s="386">
        <f>(($M17-$E17)/((1+'Q_ES-1. Executive Summary'!$F$12)^$A17))+($E17/(1+'Q_ES-1. Executive Summary'!$F$13)^$A17)</f>
        <v>5721897.152823112</v>
      </c>
      <c r="O17" s="385">
        <f>$M17/((1+'Q_ES-1. Executive Summary'!$F$13)^$A17)</f>
        <v>7191107.6007661605</v>
      </c>
      <c r="U17" s="293"/>
      <c r="X17" s="81"/>
    </row>
    <row r="18" spans="1:24">
      <c r="A18" s="112">
        <f t="shared" si="1"/>
        <v>7</v>
      </c>
      <c r="B18" s="112">
        <f t="shared" si="2"/>
        <v>2029</v>
      </c>
      <c r="C18" s="394">
        <f>'Q_1B. Safety Backup'!G22</f>
        <v>127043.8</v>
      </c>
      <c r="D18" s="392">
        <f>SUM('Q_2B. Emissions Backup'!C188:E188)</f>
        <v>50410.493030431717</v>
      </c>
      <c r="E18" s="392">
        <f>'Q_2B. Emissions Backup'!F188</f>
        <v>1549.7702311598259</v>
      </c>
      <c r="F18" s="392">
        <f>'Q_3D. TTS Backup All Years'!G98</f>
        <v>8590251.7411120757</v>
      </c>
      <c r="G18" s="393">
        <v>0</v>
      </c>
      <c r="H18" s="392">
        <f>-'Q_11. Work Zone Impact Costs'!B32</f>
        <v>-86354.84183523558</v>
      </c>
      <c r="I18" s="392">
        <v>0</v>
      </c>
      <c r="J18" s="392">
        <v>0</v>
      </c>
      <c r="K18" s="392">
        <v>0</v>
      </c>
      <c r="L18" s="392">
        <v>0</v>
      </c>
      <c r="M18" s="391">
        <f t="shared" si="0"/>
        <v>8682900.9625384305</v>
      </c>
      <c r="N18" s="378">
        <f>(($M18-$E18)/((1+'Q_ES-1. Executive Summary'!$F$12)^$A18))+($E18/(1+'Q_ES-1. Executive Summary'!$F$13)^$A18)</f>
        <v>5407569.3192383284</v>
      </c>
      <c r="O18" s="377">
        <f>$M18/((1+'Q_ES-1. Executive Summary'!$F$13)^$A18)</f>
        <v>7059993.0664750338</v>
      </c>
    </row>
    <row r="19" spans="1:24">
      <c r="A19" s="112">
        <f t="shared" si="1"/>
        <v>8</v>
      </c>
      <c r="B19" s="112">
        <f t="shared" si="2"/>
        <v>2030</v>
      </c>
      <c r="C19" s="394">
        <f>'Q_1B. Safety Backup'!G23</f>
        <v>127043.8</v>
      </c>
      <c r="D19" s="392">
        <f>SUM('Q_2B. Emissions Backup'!C189:E189)</f>
        <v>50844.715104963121</v>
      </c>
      <c r="E19" s="392">
        <f>'Q_2B. Emissions Backup'!F189</f>
        <v>1274.940129342096</v>
      </c>
      <c r="F19" s="392">
        <f>'Q_3D. TTS Backup All Years'!G99</f>
        <v>8600100.2596919909</v>
      </c>
      <c r="G19" s="393">
        <v>0</v>
      </c>
      <c r="H19" s="392">
        <f>-'Q_11. Work Zone Impact Costs'!B33</f>
        <v>0</v>
      </c>
      <c r="I19" s="392">
        <v>0</v>
      </c>
      <c r="J19" s="392">
        <v>0</v>
      </c>
      <c r="K19" s="392">
        <v>0</v>
      </c>
      <c r="L19" s="392">
        <v>0</v>
      </c>
      <c r="M19" s="391">
        <f t="shared" si="0"/>
        <v>8779263.7149262968</v>
      </c>
      <c r="N19" s="378">
        <f>(($M19-$E19)/((1+'Q_ES-1. Executive Summary'!$F$12)^$A19))+($E19/(1+'Q_ES-1. Executive Summary'!$F$13)^$A19)</f>
        <v>5109875.8362128343</v>
      </c>
      <c r="O19" s="377">
        <f>$M19/((1+'Q_ES-1. Executive Summary'!$F$13)^$A19)</f>
        <v>6930431.847040087</v>
      </c>
    </row>
    <row r="20" spans="1:24">
      <c r="A20" s="112">
        <f t="shared" si="1"/>
        <v>9</v>
      </c>
      <c r="B20" s="112">
        <f t="shared" si="2"/>
        <v>2031</v>
      </c>
      <c r="C20" s="394">
        <f>'Q_1B. Safety Backup'!G24</f>
        <v>127043.8</v>
      </c>
      <c r="D20" s="392">
        <f>SUM('Q_2B. Emissions Backup'!C190:E190)</f>
        <v>51244.123689530308</v>
      </c>
      <c r="E20" s="392">
        <f>'Q_2B. Emissions Backup'!F190</f>
        <v>1006.0697250122394</v>
      </c>
      <c r="F20" s="392">
        <f>'Q_3D. TTS Backup All Years'!G100</f>
        <v>8609948.7782719079</v>
      </c>
      <c r="G20" s="393">
        <v>0</v>
      </c>
      <c r="H20" s="392">
        <f>-'Q_11. Work Zone Impact Costs'!B34</f>
        <v>0</v>
      </c>
      <c r="I20" s="392">
        <v>0</v>
      </c>
      <c r="J20" s="392">
        <v>0</v>
      </c>
      <c r="K20" s="392">
        <v>0</v>
      </c>
      <c r="L20" s="392">
        <v>0</v>
      </c>
      <c r="M20" s="391">
        <f t="shared" si="0"/>
        <v>8789242.7716864496</v>
      </c>
      <c r="N20" s="378">
        <f>(($M20-$E20)/((1+'Q_ES-1. Executive Summary'!$F$12)^$A20))+($E20/(1+'Q_ES-1. Executive Summary'!$F$13)^$A20)</f>
        <v>4780989.548684408</v>
      </c>
      <c r="O20" s="377">
        <f>$M20/((1+'Q_ES-1. Executive Summary'!$F$13)^$A20)</f>
        <v>6736222.7248507719</v>
      </c>
    </row>
    <row r="21" spans="1:24">
      <c r="A21" s="112">
        <f t="shared" si="1"/>
        <v>10</v>
      </c>
      <c r="B21" s="112">
        <f t="shared" si="2"/>
        <v>2032</v>
      </c>
      <c r="C21" s="394">
        <f>'Q_1B. Safety Backup'!G25</f>
        <v>127043.8</v>
      </c>
      <c r="D21" s="392">
        <f>SUM('Q_2B. Emissions Backup'!C191:E191)</f>
        <v>50834.004103593674</v>
      </c>
      <c r="E21" s="392">
        <f>'Q_2B. Emissions Backup'!F191</f>
        <v>707.44387749064481</v>
      </c>
      <c r="F21" s="392">
        <f>'Q_3D. TTS Backup All Years'!G101</f>
        <v>8619797.2968518268</v>
      </c>
      <c r="G21" s="393">
        <v>0</v>
      </c>
      <c r="H21" s="392">
        <v>0</v>
      </c>
      <c r="I21" s="392">
        <v>0</v>
      </c>
      <c r="J21" s="392">
        <v>0</v>
      </c>
      <c r="K21" s="392">
        <v>0</v>
      </c>
      <c r="L21" s="392">
        <v>0</v>
      </c>
      <c r="M21" s="391">
        <f t="shared" si="0"/>
        <v>8798382.5448329113</v>
      </c>
      <c r="N21" s="378">
        <f>(($M21-$E21)/((1+'Q_ES-1. Executive Summary'!$F$12)^$A21))+($E21/(1+'Q_ES-1. Executive Summary'!$F$13)^$A21)</f>
        <v>4472818.3146862919</v>
      </c>
      <c r="O21" s="377">
        <f>$M21/((1+'Q_ES-1. Executive Summary'!$F$13)^$A21)</f>
        <v>6546822.9125437327</v>
      </c>
    </row>
    <row r="22" spans="1:24">
      <c r="A22" s="112">
        <f t="shared" si="1"/>
        <v>11</v>
      </c>
      <c r="B22" s="112">
        <f t="shared" si="2"/>
        <v>2033</v>
      </c>
      <c r="C22" s="394">
        <f>'Q_1B. Safety Backup'!G26</f>
        <v>127043.8</v>
      </c>
      <c r="D22" s="392">
        <f>SUM('Q_2B. Emissions Backup'!C192:E192)</f>
        <v>50423.884517657047</v>
      </c>
      <c r="E22" s="392">
        <f>'Q_2B. Emissions Backup'!F192</f>
        <v>297.70854640391804</v>
      </c>
      <c r="F22" s="392">
        <f>'Q_3D. TTS Backup All Years'!G102</f>
        <v>8629645.8154317476</v>
      </c>
      <c r="G22" s="393">
        <v>0</v>
      </c>
      <c r="H22" s="392">
        <v>0</v>
      </c>
      <c r="I22" s="392">
        <v>0</v>
      </c>
      <c r="J22" s="392">
        <v>0</v>
      </c>
      <c r="K22" s="392">
        <v>0</v>
      </c>
      <c r="L22" s="392">
        <v>0</v>
      </c>
      <c r="M22" s="391">
        <f t="shared" si="0"/>
        <v>8807411.2084958088</v>
      </c>
      <c r="N22" s="378">
        <f>(($M22-$E22)/((1+'Q_ES-1. Executive Summary'!$F$12)^$A22))+($E22/(1+'Q_ES-1. Executive Summary'!$F$13)^$A22)</f>
        <v>4184411.2517819759</v>
      </c>
      <c r="O22" s="377">
        <f>$M22/((1+'Q_ES-1. Executive Summary'!$F$13)^$A22)</f>
        <v>6362661.2487717904</v>
      </c>
    </row>
    <row r="23" spans="1:24">
      <c r="A23" s="112">
        <f t="shared" si="1"/>
        <v>12</v>
      </c>
      <c r="B23" s="112">
        <f t="shared" si="2"/>
        <v>2034</v>
      </c>
      <c r="C23" s="394">
        <f>'Q_1B. Safety Backup'!G27</f>
        <v>127043.8</v>
      </c>
      <c r="D23" s="392">
        <f>SUM('Q_2B. Emissions Backup'!C193:E193)</f>
        <v>50013.76493172042</v>
      </c>
      <c r="E23" s="392">
        <f>'Q_2B. Emissions Backup'!F193</f>
        <v>-112.02678468280874</v>
      </c>
      <c r="F23" s="392">
        <f>'Q_3D. TTS Backup All Years'!G103</f>
        <v>8639494.3340116628</v>
      </c>
      <c r="G23" s="393">
        <v>0</v>
      </c>
      <c r="H23" s="392">
        <v>0</v>
      </c>
      <c r="I23" s="392">
        <v>0</v>
      </c>
      <c r="J23" s="392">
        <v>0</v>
      </c>
      <c r="K23" s="392">
        <v>0</v>
      </c>
      <c r="L23" s="392">
        <v>0</v>
      </c>
      <c r="M23" s="391">
        <f t="shared" si="0"/>
        <v>8816439.8721587006</v>
      </c>
      <c r="N23" s="378">
        <f>(($M23-$E23)/((1+'Q_ES-1. Executive Summary'!$F$12)^$A23))+($E23/(1+'Q_ES-1. Executive Summary'!$F$13)^$A23)</f>
        <v>3914575.9090646575</v>
      </c>
      <c r="O23" s="377">
        <f>$M23/((1+'Q_ES-1. Executive Summary'!$F$13)^$A23)</f>
        <v>6183673.5412632218</v>
      </c>
    </row>
    <row r="24" spans="1:24">
      <c r="A24" s="112">
        <f t="shared" si="1"/>
        <v>13</v>
      </c>
      <c r="B24" s="112">
        <f t="shared" si="2"/>
        <v>2035</v>
      </c>
      <c r="C24" s="394">
        <f>'Q_1B. Safety Backup'!G28</f>
        <v>127043.8</v>
      </c>
      <c r="D24" s="392">
        <f>SUM('Q_2B. Emissions Backup'!C194:E194)</f>
        <v>49603.645345783792</v>
      </c>
      <c r="E24" s="392">
        <f>'Q_2B. Emissions Backup'!F194</f>
        <v>-521.76211576953551</v>
      </c>
      <c r="F24" s="392">
        <f>'Q_3D. TTS Backup All Years'!G104</f>
        <v>8649342.8525915816</v>
      </c>
      <c r="G24" s="393">
        <v>0</v>
      </c>
      <c r="H24" s="392">
        <v>0</v>
      </c>
      <c r="I24" s="392">
        <v>0</v>
      </c>
      <c r="J24" s="392">
        <v>0</v>
      </c>
      <c r="K24" s="392">
        <v>0</v>
      </c>
      <c r="L24" s="392">
        <v>0</v>
      </c>
      <c r="M24" s="391">
        <f t="shared" si="0"/>
        <v>8825468.5358215962</v>
      </c>
      <c r="N24" s="378">
        <f>(($M24-$E24)/((1+'Q_ES-1. Executive Summary'!$F$12)^$A24))+($E24/(1+'Q_ES-1. Executive Summary'!$F$13)^$A24)</f>
        <v>3662116.8964412776</v>
      </c>
      <c r="O24" s="377">
        <f>$M24/((1+'Q_ES-1. Executive Summary'!$F$13)^$A24)</f>
        <v>6009714.6255353456</v>
      </c>
    </row>
    <row r="25" spans="1:24">
      <c r="A25" s="112">
        <f t="shared" si="1"/>
        <v>14</v>
      </c>
      <c r="B25" s="112">
        <f t="shared" si="2"/>
        <v>2036</v>
      </c>
      <c r="C25" s="394">
        <f>'Q_1B. Safety Backup'!G29</f>
        <v>127043.8</v>
      </c>
      <c r="D25" s="392">
        <f>SUM('Q_2B. Emissions Backup'!C195:E195)</f>
        <v>49193.525759847165</v>
      </c>
      <c r="E25" s="392">
        <f>'Q_2B. Emissions Backup'!F195</f>
        <v>-931.49744685626229</v>
      </c>
      <c r="F25" s="392">
        <f>'Q_3D. TTS Backup All Years'!G105</f>
        <v>8659191.3711715005</v>
      </c>
      <c r="G25" s="393">
        <v>0</v>
      </c>
      <c r="H25" s="392">
        <v>0</v>
      </c>
      <c r="I25" s="392">
        <v>0</v>
      </c>
      <c r="J25" s="392">
        <v>0</v>
      </c>
      <c r="K25" s="392">
        <v>0</v>
      </c>
      <c r="L25" s="392">
        <v>0</v>
      </c>
      <c r="M25" s="391">
        <f t="shared" si="0"/>
        <v>8834497.1994844917</v>
      </c>
      <c r="N25" s="378">
        <f>(($M25-$E25)/((1+'Q_ES-1. Executive Summary'!$F$12)^$A25))+($E25/(1+'Q_ES-1. Executive Summary'!$F$13)^$A25)</f>
        <v>3425915.750901022</v>
      </c>
      <c r="O25" s="377">
        <f>$M25/((1+'Q_ES-1. Executive Summary'!$F$13)^$A25)</f>
        <v>5840643.4040339235</v>
      </c>
    </row>
    <row r="26" spans="1:24">
      <c r="A26" s="112">
        <f t="shared" si="1"/>
        <v>15</v>
      </c>
      <c r="B26" s="112">
        <f t="shared" si="2"/>
        <v>2037</v>
      </c>
      <c r="C26" s="394">
        <f>'Q_1B. Safety Backup'!G30</f>
        <v>127043.8</v>
      </c>
      <c r="D26" s="392">
        <f>SUM('Q_2B. Emissions Backup'!C196:E196)</f>
        <v>48783.406173910538</v>
      </c>
      <c r="E26" s="392">
        <f>'Q_2B. Emissions Backup'!F196</f>
        <v>-1341.2327779429891</v>
      </c>
      <c r="F26" s="392">
        <f>'Q_3D. TTS Backup All Years'!G106</f>
        <v>8669039.8897514194</v>
      </c>
      <c r="G26" s="393">
        <v>0</v>
      </c>
      <c r="H26" s="392">
        <v>0</v>
      </c>
      <c r="I26" s="392">
        <v>0</v>
      </c>
      <c r="J26" s="392">
        <v>0</v>
      </c>
      <c r="K26" s="392">
        <v>0</v>
      </c>
      <c r="L26" s="392">
        <v>0</v>
      </c>
      <c r="M26" s="391">
        <f t="shared" si="0"/>
        <v>8843525.8631473873</v>
      </c>
      <c r="N26" s="378">
        <f>(($M26-$E26)/((1+'Q_ES-1. Executive Summary'!$F$12)^$A26))+($E26/(1+'Q_ES-1. Executive Summary'!$F$13)^$A26)</f>
        <v>3204925.9869010504</v>
      </c>
      <c r="O26" s="377">
        <f>$M26/((1+'Q_ES-1. Executive Summary'!$F$13)^$A26)</f>
        <v>5676322.7323730206</v>
      </c>
    </row>
    <row r="27" spans="1:24">
      <c r="A27" s="112">
        <f t="shared" si="1"/>
        <v>16</v>
      </c>
      <c r="B27" s="112">
        <f t="shared" si="2"/>
        <v>2038</v>
      </c>
      <c r="C27" s="394">
        <f>'Q_1B. Safety Backup'!G31</f>
        <v>127043.8</v>
      </c>
      <c r="D27" s="392">
        <f>SUM('Q_2B. Emissions Backup'!C197:E197)</f>
        <v>48373.286587973911</v>
      </c>
      <c r="E27" s="392">
        <f>'Q_2B. Emissions Backup'!F197</f>
        <v>-1750.9681090297158</v>
      </c>
      <c r="F27" s="392">
        <f>'Q_3D. TTS Backup All Years'!G107</f>
        <v>8678888.4083313346</v>
      </c>
      <c r="G27" s="393">
        <v>0</v>
      </c>
      <c r="H27" s="392">
        <v>0</v>
      </c>
      <c r="I27" s="392">
        <v>0</v>
      </c>
      <c r="J27" s="392">
        <v>0</v>
      </c>
      <c r="K27" s="392">
        <v>0</v>
      </c>
      <c r="L27" s="392">
        <v>0</v>
      </c>
      <c r="M27" s="391">
        <f t="shared" si="0"/>
        <v>8852554.5268102791</v>
      </c>
      <c r="N27" s="378">
        <f>(($M27-$E27)/((1+'Q_ES-1. Executive Summary'!$F$12)^$A27))+($E27/(1+'Q_ES-1. Executive Summary'!$F$13)^$A27)</f>
        <v>2998168.465152523</v>
      </c>
      <c r="O27" s="377">
        <f>$M27/((1+'Q_ES-1. Executive Summary'!$F$13)^$A27)</f>
        <v>5516619.3087515291</v>
      </c>
    </row>
    <row r="28" spans="1:24">
      <c r="A28" s="112">
        <f t="shared" si="1"/>
        <v>17</v>
      </c>
      <c r="B28" s="112">
        <f t="shared" si="2"/>
        <v>2039</v>
      </c>
      <c r="C28" s="394">
        <f>'Q_1B. Safety Backup'!G32</f>
        <v>127043.8</v>
      </c>
      <c r="D28" s="392">
        <f>SUM('Q_2B. Emissions Backup'!C198:E198)</f>
        <v>47963.167002037284</v>
      </c>
      <c r="E28" s="392">
        <f>'Q_2B. Emissions Backup'!F198</f>
        <v>-2160.7034401164428</v>
      </c>
      <c r="F28" s="392">
        <f>'Q_3D. TTS Backup All Years'!G108</f>
        <v>8688736.9269112535</v>
      </c>
      <c r="G28" s="393">
        <v>0</v>
      </c>
      <c r="H28" s="392">
        <v>0</v>
      </c>
      <c r="I28" s="392">
        <v>0</v>
      </c>
      <c r="J28" s="392">
        <v>0</v>
      </c>
      <c r="K28" s="392">
        <v>0</v>
      </c>
      <c r="L28" s="392">
        <v>0</v>
      </c>
      <c r="M28" s="391">
        <f t="shared" si="0"/>
        <v>8861583.1904731747</v>
      </c>
      <c r="N28" s="378">
        <f>(($M28-$E28)/((1+'Q_ES-1. Executive Summary'!$F$12)^$A28))+($E28/(1+'Q_ES-1. Executive Summary'!$F$13)^$A28)</f>
        <v>2804727.0593297146</v>
      </c>
      <c r="O28" s="377">
        <f>$M28/((1+'Q_ES-1. Executive Summary'!$F$13)^$A28)</f>
        <v>5361403.5664578481</v>
      </c>
    </row>
    <row r="29" spans="1:24">
      <c r="A29" s="112">
        <f t="shared" si="1"/>
        <v>18</v>
      </c>
      <c r="B29" s="112">
        <f t="shared" si="2"/>
        <v>2040</v>
      </c>
      <c r="C29" s="394">
        <f>'Q_1B. Safety Backup'!G33</f>
        <v>127043.8</v>
      </c>
      <c r="D29" s="392">
        <f>SUM('Q_2B. Emissions Backup'!C199:E199)</f>
        <v>47553.047416100657</v>
      </c>
      <c r="E29" s="392">
        <f>'Q_2B. Emissions Backup'!F199</f>
        <v>-2570.4387712031694</v>
      </c>
      <c r="F29" s="392">
        <f>'Q_3D. TTS Backup All Years'!G109</f>
        <v>8698585.4454911724</v>
      </c>
      <c r="G29" s="393">
        <v>0</v>
      </c>
      <c r="H29" s="392">
        <v>0</v>
      </c>
      <c r="I29" s="392">
        <v>0</v>
      </c>
      <c r="J29" s="392">
        <v>0</v>
      </c>
      <c r="K29" s="392">
        <v>0</v>
      </c>
      <c r="L29" s="392">
        <v>0</v>
      </c>
      <c r="M29" s="391">
        <f t="shared" si="0"/>
        <v>8870611.8541360702</v>
      </c>
      <c r="N29" s="378">
        <f>(($M29-$E29)/((1+'Q_ES-1. Executive Summary'!$F$12)^$A29))+($E29/(1+'Q_ES-1. Executive Summary'!$F$13)^$A29)</f>
        <v>2623744.6015415923</v>
      </c>
      <c r="O29" s="377">
        <f>$M29/((1+'Q_ES-1. Executive Summary'!$F$13)^$A29)</f>
        <v>5210549.5693766037</v>
      </c>
    </row>
    <row r="30" spans="1:24">
      <c r="A30" s="112">
        <f t="shared" si="1"/>
        <v>19</v>
      </c>
      <c r="B30" s="112">
        <f t="shared" si="2"/>
        <v>2041</v>
      </c>
      <c r="C30" s="394">
        <f>'Q_1B. Safety Backup'!G34</f>
        <v>127043.8</v>
      </c>
      <c r="D30" s="392">
        <f>SUM('Q_2B. Emissions Backup'!C200:E200)</f>
        <v>47142.92783016403</v>
      </c>
      <c r="E30" s="392">
        <f>'Q_2B. Emissions Backup'!F200</f>
        <v>-2980.1741022898959</v>
      </c>
      <c r="F30" s="392">
        <f>'Q_3D. TTS Backup All Years'!G110</f>
        <v>8708433.9640710913</v>
      </c>
      <c r="G30" s="393">
        <v>0</v>
      </c>
      <c r="H30" s="392">
        <v>0</v>
      </c>
      <c r="I30" s="392">
        <v>0</v>
      </c>
      <c r="J30" s="392">
        <v>0</v>
      </c>
      <c r="K30" s="392">
        <v>0</v>
      </c>
      <c r="L30" s="392">
        <v>0</v>
      </c>
      <c r="M30" s="391">
        <f t="shared" si="0"/>
        <v>8879640.5177989658</v>
      </c>
      <c r="N30" s="378">
        <f>(($M30-$E30)/((1+'Q_ES-1. Executive Summary'!$F$12)^$A30))+($E30/(1+'Q_ES-1. Executive Summary'!$F$13)^$A30)</f>
        <v>2454419.0886372034</v>
      </c>
      <c r="O30" s="377">
        <f>$M30/((1+'Q_ES-1. Executive Summary'!$F$13)^$A30)</f>
        <v>5063934.910413757</v>
      </c>
    </row>
    <row r="31" spans="1:24">
      <c r="A31" s="112">
        <f t="shared" si="1"/>
        <v>20</v>
      </c>
      <c r="B31" s="112">
        <f t="shared" si="2"/>
        <v>2042</v>
      </c>
      <c r="C31" s="394">
        <f>'Q_1B. Safety Backup'!G35</f>
        <v>127043.8</v>
      </c>
      <c r="D31" s="392">
        <f>SUM('Q_2B. Emissions Backup'!C201:E201)</f>
        <v>46732.808244227403</v>
      </c>
      <c r="E31" s="392">
        <f>'Q_2B. Emissions Backup'!F201</f>
        <v>-3389.9094333766225</v>
      </c>
      <c r="F31" s="392">
        <f>'Q_3D. TTS Backup All Years'!G111</f>
        <v>8718282.4826510102</v>
      </c>
      <c r="G31" s="393">
        <v>0</v>
      </c>
      <c r="H31" s="392">
        <v>0</v>
      </c>
      <c r="I31" s="392">
        <v>0</v>
      </c>
      <c r="J31" s="392">
        <v>0</v>
      </c>
      <c r="K31" s="392">
        <v>0</v>
      </c>
      <c r="L31" s="392">
        <v>0</v>
      </c>
      <c r="M31" s="391">
        <f t="shared" si="0"/>
        <v>8888669.1814618614</v>
      </c>
      <c r="N31" s="378">
        <f>(($M31-$E31)/((1+'Q_ES-1. Executive Summary'!$F$12)^$A31))+($E31/(1+'Q_ES-1. Executive Summary'!$F$13)^$A31)</f>
        <v>2296000.132568995</v>
      </c>
      <c r="O31" s="377">
        <f>$M31/((1+'Q_ES-1. Executive Summary'!$F$13)^$A31)</f>
        <v>4921440.6127587287</v>
      </c>
    </row>
    <row r="32" spans="1:24">
      <c r="A32" s="112">
        <f t="shared" si="1"/>
        <v>21</v>
      </c>
      <c r="B32" s="112">
        <f t="shared" si="2"/>
        <v>2043</v>
      </c>
      <c r="C32" s="394">
        <f>'Q_1B. Safety Backup'!G36</f>
        <v>127043.8</v>
      </c>
      <c r="D32" s="392">
        <f>SUM('Q_2B. Emissions Backup'!C202:E202)</f>
        <v>46322.688658290775</v>
      </c>
      <c r="E32" s="392">
        <f>'Q_2B. Emissions Backup'!F202</f>
        <v>-3799.644764463349</v>
      </c>
      <c r="F32" s="392">
        <f>'Q_3D. TTS Backup All Years'!G112</f>
        <v>8728131.0012309272</v>
      </c>
      <c r="G32" s="393">
        <v>0</v>
      </c>
      <c r="H32" s="392">
        <v>0</v>
      </c>
      <c r="I32" s="392">
        <v>0</v>
      </c>
      <c r="J32" s="392">
        <v>0</v>
      </c>
      <c r="K32" s="392">
        <v>0</v>
      </c>
      <c r="L32" s="392">
        <v>0</v>
      </c>
      <c r="M32" s="391">
        <f t="shared" si="0"/>
        <v>8897697.8451247551</v>
      </c>
      <c r="N32" s="378">
        <f>(($M32-$E32)/((1+'Q_ES-1. Executive Summary'!$F$12)^$A32))+($E32/(1+'Q_ES-1. Executive Summary'!$F$13)^$A32)</f>
        <v>2147785.6391168679</v>
      </c>
      <c r="O32" s="377">
        <f>$M32/((1+'Q_ES-1. Executive Summary'!$F$13)^$A32)</f>
        <v>4782951.0339044435</v>
      </c>
    </row>
    <row r="33" spans="1:15">
      <c r="A33" s="112">
        <f t="shared" si="1"/>
        <v>22</v>
      </c>
      <c r="B33" s="112">
        <f t="shared" si="2"/>
        <v>2044</v>
      </c>
      <c r="C33" s="394">
        <f>'Q_1B. Safety Backup'!G37</f>
        <v>127043.8</v>
      </c>
      <c r="D33" s="392">
        <f>SUM('Q_2B. Emissions Backup'!C203:E203)</f>
        <v>45912.569072354148</v>
      </c>
      <c r="E33" s="392">
        <f>'Q_2B. Emissions Backup'!F203</f>
        <v>-4209.3800955500756</v>
      </c>
      <c r="F33" s="392">
        <f>'Q_3D. TTS Backup All Years'!G113</f>
        <v>8737979.5198108442</v>
      </c>
      <c r="G33" s="393">
        <v>0</v>
      </c>
      <c r="H33" s="392">
        <v>0</v>
      </c>
      <c r="I33" s="392">
        <v>0</v>
      </c>
      <c r="J33" s="392">
        <v>0</v>
      </c>
      <c r="K33" s="392">
        <v>0</v>
      </c>
      <c r="L33" s="392">
        <v>0</v>
      </c>
      <c r="M33" s="391">
        <f t="shared" si="0"/>
        <v>8906726.5087876488</v>
      </c>
      <c r="N33" s="378">
        <f>(($M33-$E33)/((1+'Q_ES-1. Executive Summary'!$F$12)^$A33))+($E33/(1+'Q_ES-1. Executive Summary'!$F$13)^$A33)</f>
        <v>2009118.7002850999</v>
      </c>
      <c r="O33" s="377">
        <f>$M33/((1+'Q_ES-1. Executive Summary'!$F$13)^$A33)</f>
        <v>4648353.7723484058</v>
      </c>
    </row>
    <row r="34" spans="1:15">
      <c r="A34" s="112">
        <f t="shared" si="1"/>
        <v>23</v>
      </c>
      <c r="B34" s="112">
        <f t="shared" si="2"/>
        <v>2045</v>
      </c>
      <c r="C34" s="394">
        <f>'Q_1B. Safety Backup'!G38</f>
        <v>127043.8</v>
      </c>
      <c r="D34" s="392">
        <f>SUM('Q_2B. Emissions Backup'!C204:E204)</f>
        <v>45502.449486417521</v>
      </c>
      <c r="E34" s="392">
        <f>'Q_2B. Emissions Backup'!F204</f>
        <v>-4619.1154266368021</v>
      </c>
      <c r="F34" s="392">
        <f>'Q_3D. TTS Backup All Years'!G114</f>
        <v>8747828.0383907631</v>
      </c>
      <c r="G34" s="393">
        <v>0</v>
      </c>
      <c r="H34" s="392">
        <v>0</v>
      </c>
      <c r="I34" s="392">
        <v>0</v>
      </c>
      <c r="J34" s="392">
        <v>0</v>
      </c>
      <c r="K34" s="392">
        <v>0</v>
      </c>
      <c r="L34" s="392">
        <v>0</v>
      </c>
      <c r="M34" s="391">
        <f t="shared" si="0"/>
        <v>8915755.1724505443</v>
      </c>
      <c r="N34" s="378">
        <f>(($M34-$E34)/((1+'Q_ES-1. Executive Summary'!$F$12)^$A34))+($E34/(1+'Q_ES-1. Executive Summary'!$F$13)^$A34)</f>
        <v>1879384.6866287361</v>
      </c>
      <c r="O34" s="377">
        <f>$M34/((1+'Q_ES-1. Executive Summary'!$F$13)^$A34)</f>
        <v>4517539.5769000603</v>
      </c>
    </row>
    <row r="35" spans="1:15">
      <c r="A35" s="112">
        <f t="shared" si="1"/>
        <v>24</v>
      </c>
      <c r="B35" s="112">
        <f t="shared" si="2"/>
        <v>2046</v>
      </c>
      <c r="C35" s="394">
        <f>'Q_1B. Safety Backup'!G39</f>
        <v>127043.8</v>
      </c>
      <c r="D35" s="392">
        <f>SUM('Q_2B. Emissions Backup'!C205:E205)</f>
        <v>45092.329900480894</v>
      </c>
      <c r="E35" s="392">
        <f>'Q_2B. Emissions Backup'!F205</f>
        <v>-5028.8507577235287</v>
      </c>
      <c r="F35" s="392">
        <f>'Q_3D. TTS Backup All Years'!G115</f>
        <v>8757676.5569706783</v>
      </c>
      <c r="G35" s="393">
        <v>0</v>
      </c>
      <c r="H35" s="392">
        <v>0</v>
      </c>
      <c r="I35" s="392">
        <v>0</v>
      </c>
      <c r="J35" s="392">
        <v>0</v>
      </c>
      <c r="K35" s="392">
        <v>0</v>
      </c>
      <c r="L35" s="392">
        <v>0</v>
      </c>
      <c r="M35" s="391">
        <f t="shared" si="0"/>
        <v>8924783.8361134361</v>
      </c>
      <c r="N35" s="378">
        <f>(($M35-$E35)/((1+'Q_ES-1. Executive Summary'!$F$12)^$A35))+($E35/(1+'Q_ES-1. Executive Summary'!$F$13)^$A35)</f>
        <v>1758008.5266497878</v>
      </c>
      <c r="O35" s="377">
        <f>$M35/((1+'Q_ES-1. Executive Summary'!$F$13)^$A35)</f>
        <v>4390402.2585217431</v>
      </c>
    </row>
    <row r="36" spans="1:15">
      <c r="A36" s="112">
        <f t="shared" si="1"/>
        <v>25</v>
      </c>
      <c r="B36" s="112">
        <f t="shared" si="2"/>
        <v>2047</v>
      </c>
      <c r="C36" s="394">
        <f>'Q_1B. Safety Backup'!G40</f>
        <v>127043.8</v>
      </c>
      <c r="D36" s="392">
        <f>SUM('Q_2B. Emissions Backup'!C206:E206)</f>
        <v>44682.210314544267</v>
      </c>
      <c r="E36" s="392">
        <f>'Q_2B. Emissions Backup'!F206</f>
        <v>-5438.5860888102552</v>
      </c>
      <c r="F36" s="392">
        <f>'Q_3D. TTS Backup All Years'!G116</f>
        <v>8767525.0755505972</v>
      </c>
      <c r="G36" s="393">
        <v>0</v>
      </c>
      <c r="H36" s="392">
        <v>0</v>
      </c>
      <c r="I36" s="392">
        <v>0</v>
      </c>
      <c r="J36" s="392">
        <v>0</v>
      </c>
      <c r="K36" s="392">
        <v>0</v>
      </c>
      <c r="L36" s="392">
        <v>0</v>
      </c>
      <c r="M36" s="391">
        <f t="shared" si="0"/>
        <v>8933812.4997763317</v>
      </c>
      <c r="N36" s="378">
        <f>(($M36-$E36)/((1+'Q_ES-1. Executive Summary'!$F$12)^$A36))+($E36/(1+'Q_ES-1. Executive Summary'!$F$13)^$A36)</f>
        <v>1644452.1612305148</v>
      </c>
      <c r="O36" s="377">
        <f>$M36/((1+'Q_ES-1. Executive Summary'!$F$13)^$A36)</f>
        <v>4266838.6046326058</v>
      </c>
    </row>
    <row r="37" spans="1:15">
      <c r="A37" s="112">
        <f t="shared" si="1"/>
        <v>26</v>
      </c>
      <c r="B37" s="112">
        <f t="shared" si="2"/>
        <v>2048</v>
      </c>
      <c r="C37" s="394">
        <f>'Q_1B. Safety Backup'!G41</f>
        <v>127043.8</v>
      </c>
      <c r="D37" s="392">
        <f>SUM('Q_2B. Emissions Backup'!C207:E207)</f>
        <v>44272.09072860764</v>
      </c>
      <c r="E37" s="392">
        <f>'Q_2B. Emissions Backup'!F207</f>
        <v>-5848.3214198969818</v>
      </c>
      <c r="F37" s="392">
        <f>'Q_3D. TTS Backup All Years'!G117</f>
        <v>8777373.5941305161</v>
      </c>
      <c r="G37" s="393">
        <v>0</v>
      </c>
      <c r="H37" s="392">
        <v>0</v>
      </c>
      <c r="I37" s="392">
        <v>0</v>
      </c>
      <c r="J37" s="392">
        <v>0</v>
      </c>
      <c r="K37" s="392">
        <v>0</v>
      </c>
      <c r="L37" s="392">
        <v>0</v>
      </c>
      <c r="M37" s="391">
        <f t="shared" si="0"/>
        <v>8942841.1634392273</v>
      </c>
      <c r="N37" s="378">
        <f>(($M37-$E37)/((1+'Q_ES-1. Executive Summary'!$F$12)^$A37))+($E37/(1+'Q_ES-1. Executive Summary'!$F$13)^$A37)</f>
        <v>1538212.161844824</v>
      </c>
      <c r="O37" s="377">
        <f>$M37/((1+'Q_ES-1. Executive Summary'!$F$13)^$A37)</f>
        <v>4146748.2958067907</v>
      </c>
    </row>
    <row r="38" spans="1:15">
      <c r="A38" s="112">
        <f t="shared" si="1"/>
        <v>27</v>
      </c>
      <c r="B38" s="112">
        <f t="shared" si="2"/>
        <v>2049</v>
      </c>
      <c r="C38" s="394">
        <f>'Q_1B. Safety Backup'!G42</f>
        <v>127043.8</v>
      </c>
      <c r="D38" s="392">
        <f>SUM('Q_2B. Emissions Backup'!C208:E208)</f>
        <v>43861.971142671013</v>
      </c>
      <c r="E38" s="392">
        <f>'Q_2B. Emissions Backup'!F208</f>
        <v>-6258.0567509837083</v>
      </c>
      <c r="F38" s="392">
        <f>'Q_3D. TTS Backup All Years'!G118</f>
        <v>8787222.1127104349</v>
      </c>
      <c r="G38" s="393">
        <v>0</v>
      </c>
      <c r="H38" s="392">
        <v>0</v>
      </c>
      <c r="I38" s="392">
        <v>0</v>
      </c>
      <c r="J38" s="392">
        <v>0</v>
      </c>
      <c r="K38" s="392">
        <v>0</v>
      </c>
      <c r="L38" s="392">
        <v>0</v>
      </c>
      <c r="M38" s="391">
        <f t="shared" si="0"/>
        <v>8951869.8271021228</v>
      </c>
      <c r="N38" s="378">
        <f>(($M38-$E38)/((1+'Q_ES-1. Executive Summary'!$F$12)^$A38))+($E38/(1+'Q_ES-1. Executive Summary'!$F$13)^$A38)</f>
        <v>1438817.5020128735</v>
      </c>
      <c r="O38" s="377">
        <f>$M38/((1+'Q_ES-1. Executive Summary'!$F$13)^$A38)</f>
        <v>4030033.8247991176</v>
      </c>
    </row>
    <row r="39" spans="1:15">
      <c r="A39" s="112">
        <f t="shared" si="1"/>
        <v>28</v>
      </c>
      <c r="B39" s="112">
        <f t="shared" si="2"/>
        <v>2050</v>
      </c>
      <c r="C39" s="394">
        <f>'Q_1B. Safety Backup'!G43</f>
        <v>127043.8</v>
      </c>
      <c r="D39" s="392">
        <f>SUM('Q_2B. Emissions Backup'!C209:E209)</f>
        <v>43451.851556734386</v>
      </c>
      <c r="E39" s="392">
        <f>'Q_2B. Emissions Backup'!F209</f>
        <v>-6667.7920820704348</v>
      </c>
      <c r="F39" s="392">
        <f>'Q_3D. TTS Backup All Years'!G119</f>
        <v>8797070.6312903538</v>
      </c>
      <c r="G39" s="393">
        <v>0</v>
      </c>
      <c r="H39" s="392">
        <v>0</v>
      </c>
      <c r="I39" s="392">
        <v>0</v>
      </c>
      <c r="J39" s="392">
        <v>0</v>
      </c>
      <c r="K39" s="392">
        <v>0</v>
      </c>
      <c r="L39" s="392">
        <v>0</v>
      </c>
      <c r="M39" s="391">
        <f t="shared" si="0"/>
        <v>8960898.4907650184</v>
      </c>
      <c r="N39" s="378">
        <f>(($M39-$E39)/((1+'Q_ES-1. Executive Summary'!$F$12)^$A39))+($E39/(1+'Q_ES-1. Executive Summary'!$F$13)^$A39)</f>
        <v>1345827.4721414261</v>
      </c>
      <c r="O39" s="377">
        <f>$M39/((1+'Q_ES-1. Executive Summary'!$F$13)^$A39)</f>
        <v>3916600.4178333413</v>
      </c>
    </row>
    <row r="40" spans="1:15">
      <c r="A40" s="112">
        <f t="shared" si="1"/>
        <v>29</v>
      </c>
      <c r="B40" s="112">
        <f t="shared" si="2"/>
        <v>2051</v>
      </c>
      <c r="C40" s="394">
        <f>'Q_1B. Safety Backup'!G44</f>
        <v>127043.8</v>
      </c>
      <c r="D40" s="392">
        <f>SUM('Q_2B. Emissions Backup'!C210:E210)</f>
        <v>43041.731970797759</v>
      </c>
      <c r="E40" s="392">
        <f>'Q_2B. Emissions Backup'!F210</f>
        <v>-7077.5274131571614</v>
      </c>
      <c r="F40" s="392">
        <f>'Q_3D. TTS Backup All Years'!G120</f>
        <v>8806919.1498702709</v>
      </c>
      <c r="G40" s="393">
        <v>0</v>
      </c>
      <c r="H40" s="392">
        <v>0</v>
      </c>
      <c r="I40" s="392">
        <v>0</v>
      </c>
      <c r="J40" s="392">
        <v>0</v>
      </c>
      <c r="K40" s="392">
        <v>0</v>
      </c>
      <c r="L40" s="392">
        <v>0</v>
      </c>
      <c r="M40" s="391">
        <f t="shared" si="0"/>
        <v>8969927.1544279121</v>
      </c>
      <c r="N40" s="378">
        <f>(($M40-$E40)/((1+'Q_ES-1. Executive Summary'!$F$12)^$A40))+($E40/(1+'Q_ES-1. Executive Summary'!$F$13)^$A40)</f>
        <v>1258829.7285264255</v>
      </c>
      <c r="O40" s="377">
        <f>$M40/((1+'Q_ES-1. Executive Summary'!$F$13)^$A40)</f>
        <v>3806355.9580898904</v>
      </c>
    </row>
    <row r="41" spans="1:15">
      <c r="A41" s="112">
        <f t="shared" si="1"/>
        <v>30</v>
      </c>
      <c r="B41" s="112">
        <f t="shared" si="2"/>
        <v>2052</v>
      </c>
      <c r="C41" s="394">
        <f>'Q_1B. Safety Backup'!G45</f>
        <v>127043.8</v>
      </c>
      <c r="D41" s="392">
        <f>SUM('Q_2B. Emissions Backup'!C211:E211)</f>
        <v>42631.612384861131</v>
      </c>
      <c r="E41" s="392">
        <f>'Q_2B. Emissions Backup'!F211</f>
        <v>-7487.2627442438879</v>
      </c>
      <c r="F41" s="392">
        <f>'Q_3D. TTS Backup All Years'!G121</f>
        <v>8816767.6684501898</v>
      </c>
      <c r="G41" s="393">
        <v>0</v>
      </c>
      <c r="H41" s="392">
        <v>0</v>
      </c>
      <c r="I41" s="392">
        <v>0</v>
      </c>
      <c r="J41" s="392">
        <v>0</v>
      </c>
      <c r="K41" s="392">
        <v>0</v>
      </c>
      <c r="L41" s="392">
        <v>0</v>
      </c>
      <c r="M41" s="391">
        <f t="shared" si="0"/>
        <v>8978955.8180908076</v>
      </c>
      <c r="N41" s="378">
        <f>(($M41-$E41)/((1+'Q_ES-1. Executive Summary'!$F$12)^$A41))+($E41/(1+'Q_ES-1. Executive Summary'!$F$13)^$A41)</f>
        <v>1177438.4678874658</v>
      </c>
      <c r="O41" s="377">
        <f>$M41/((1+'Q_ES-1. Executive Summary'!$F$13)^$A41)</f>
        <v>3699210.9113317309</v>
      </c>
    </row>
    <row r="42" spans="1:15">
      <c r="A42" s="112">
        <f t="shared" si="1"/>
        <v>31</v>
      </c>
      <c r="B42" s="112">
        <f t="shared" si="2"/>
        <v>2053</v>
      </c>
      <c r="C42" s="394">
        <f>'Q_1B. Safety Backup'!G46</f>
        <v>127043.8</v>
      </c>
      <c r="D42" s="392">
        <f>SUM('Q_2B. Emissions Backup'!C212:E212)</f>
        <v>42221.492798924504</v>
      </c>
      <c r="E42" s="392">
        <f>'Q_2B. Emissions Backup'!F212</f>
        <v>-7896.9980753306145</v>
      </c>
      <c r="F42" s="392">
        <f>'Q_3D. TTS Backup All Years'!G122</f>
        <v>8826616.1870301049</v>
      </c>
      <c r="G42" s="393">
        <v>0</v>
      </c>
      <c r="H42" s="392">
        <v>0</v>
      </c>
      <c r="I42" s="392">
        <v>0</v>
      </c>
      <c r="J42" s="392">
        <v>0</v>
      </c>
      <c r="K42" s="392">
        <v>0</v>
      </c>
      <c r="L42" s="392">
        <v>0</v>
      </c>
      <c r="M42" s="391">
        <f t="shared" si="0"/>
        <v>8987984.4817536995</v>
      </c>
      <c r="N42" s="378">
        <f>(($M42-$E42)/((1+'Q_ES-1. Executive Summary'!$F$12)^$A42))+($E42/(1+'Q_ES-1. Executive Summary'!$F$13)^$A42)</f>
        <v>1101292.7193588093</v>
      </c>
      <c r="O42" s="377">
        <f>$M42/((1+'Q_ES-1. Executive Summary'!$F$13)^$A42)</f>
        <v>3595078.2536087027</v>
      </c>
    </row>
    <row r="43" spans="1:15">
      <c r="A43" s="112">
        <f t="shared" si="1"/>
        <v>32</v>
      </c>
      <c r="B43" s="112">
        <f t="shared" si="2"/>
        <v>2054</v>
      </c>
      <c r="C43" s="394">
        <f>'Q_1B. Safety Backup'!G47</f>
        <v>127043.8</v>
      </c>
      <c r="D43" s="392">
        <f>SUM('Q_2B. Emissions Backup'!C213:E213)</f>
        <v>41811.373212987877</v>
      </c>
      <c r="E43" s="392">
        <f>'Q_2B. Emissions Backup'!F213</f>
        <v>-8306.733406417341</v>
      </c>
      <c r="F43" s="392">
        <f>'Q_3D. TTS Backup All Years'!G123</f>
        <v>8836464.7056100219</v>
      </c>
      <c r="G43" s="393">
        <v>0</v>
      </c>
      <c r="H43" s="392">
        <v>0</v>
      </c>
      <c r="I43" s="392">
        <v>0</v>
      </c>
      <c r="J43" s="392">
        <v>0</v>
      </c>
      <c r="K43" s="392">
        <v>0</v>
      </c>
      <c r="L43" s="392">
        <v>0</v>
      </c>
      <c r="M43" s="391">
        <f t="shared" si="0"/>
        <v>8997013.1454165932</v>
      </c>
      <c r="N43" s="378">
        <f>(($M43-$E43)/((1+'Q_ES-1. Executive Summary'!$F$12)^$A43))+($E43/(1+'Q_ES-1. Executive Summary'!$F$13)^$A43)</f>
        <v>1030054.7463810075</v>
      </c>
      <c r="O43" s="377">
        <f>$M43/((1+'Q_ES-1. Executive Summary'!$F$13)^$A43)</f>
        <v>3493873.4009823729</v>
      </c>
    </row>
    <row r="44" spans="1:15">
      <c r="A44" s="112">
        <f t="shared" si="1"/>
        <v>33</v>
      </c>
      <c r="B44" s="112">
        <f t="shared" si="2"/>
        <v>2055</v>
      </c>
      <c r="C44" s="394">
        <f>'Q_1B. Safety Backup'!G48</f>
        <v>127043.8</v>
      </c>
      <c r="D44" s="392">
        <f>SUM('Q_2B. Emissions Backup'!C214:E214)</f>
        <v>41401.25362705125</v>
      </c>
      <c r="E44" s="392">
        <f>'Q_2B. Emissions Backup'!F214</f>
        <v>-8716.4687375040685</v>
      </c>
      <c r="F44" s="392">
        <f>'Q_3D. TTS Backup All Years'!G124</f>
        <v>8846313.2241899446</v>
      </c>
      <c r="G44" s="393">
        <v>0</v>
      </c>
      <c r="H44" s="392">
        <v>0</v>
      </c>
      <c r="I44" s="392">
        <v>0</v>
      </c>
      <c r="J44" s="392">
        <v>0</v>
      </c>
      <c r="K44" s="392">
        <v>0</v>
      </c>
      <c r="L44" s="392">
        <v>0</v>
      </c>
      <c r="M44" s="391">
        <f t="shared" si="0"/>
        <v>9006041.8090794925</v>
      </c>
      <c r="N44" s="378">
        <f>(($M44-$E44)/((1+'Q_ES-1. Executive Summary'!$F$12)^$A44))+($E44/(1+'Q_ES-1. Executive Summary'!$F$13)^$A44)</f>
        <v>963408.55142309214</v>
      </c>
      <c r="O44" s="377">
        <f>$M44/((1+'Q_ES-1. Executive Summary'!$F$13)^$A44)</f>
        <v>3395514.1412149933</v>
      </c>
    </row>
    <row r="45" spans="1:15">
      <c r="A45" s="112">
        <f t="shared" si="1"/>
        <v>34</v>
      </c>
      <c r="B45" s="112">
        <f t="shared" si="2"/>
        <v>2056</v>
      </c>
      <c r="C45" s="394">
        <f>'Q_1B. Safety Backup'!G49</f>
        <v>127043.8</v>
      </c>
      <c r="D45" s="392">
        <f>SUM('Q_2B. Emissions Backup'!C215:E215)</f>
        <v>40991.134041114623</v>
      </c>
      <c r="E45" s="392">
        <f>'Q_2B. Emissions Backup'!F215</f>
        <v>-9126.2040685907959</v>
      </c>
      <c r="F45" s="392">
        <f>'Q_3D. TTS Backup All Years'!G125</f>
        <v>8856161.7427698597</v>
      </c>
      <c r="G45" s="393">
        <v>0</v>
      </c>
      <c r="H45" s="392">
        <v>0</v>
      </c>
      <c r="I45" s="392">
        <v>0</v>
      </c>
      <c r="J45" s="392">
        <v>0</v>
      </c>
      <c r="K45" s="392">
        <v>0</v>
      </c>
      <c r="L45" s="392">
        <v>0</v>
      </c>
      <c r="M45" s="391">
        <f t="shared" si="0"/>
        <v>9015070.4727423843</v>
      </c>
      <c r="N45" s="378">
        <f>(($M45-$E45)/((1+'Q_ES-1. Executive Summary'!$F$12)^$A45))+($E45/(1+'Q_ES-1. Executive Summary'!$F$13)^$A45)</f>
        <v>901058.47692004615</v>
      </c>
      <c r="O45" s="377">
        <f>$M45/((1+'Q_ES-1. Executive Summary'!$F$13)^$A45)</f>
        <v>3299920.5673678117</v>
      </c>
    </row>
    <row r="46" spans="1:15">
      <c r="A46" s="112">
        <f t="shared" si="1"/>
        <v>35</v>
      </c>
      <c r="B46" s="112">
        <f t="shared" si="2"/>
        <v>2057</v>
      </c>
      <c r="C46" s="394">
        <f>'Q_1B. Safety Backup'!G50</f>
        <v>127043.8</v>
      </c>
      <c r="D46" s="392">
        <f>SUM('Q_2B. Emissions Backup'!C216:E216)</f>
        <v>40581.014455177996</v>
      </c>
      <c r="E46" s="392">
        <f>'Q_2B. Emissions Backup'!F216</f>
        <v>-9535.9393996775234</v>
      </c>
      <c r="F46" s="392">
        <f>'Q_3D. TTS Backup All Years'!G126</f>
        <v>8856161.7427698597</v>
      </c>
      <c r="G46" s="393">
        <v>0</v>
      </c>
      <c r="H46" s="392">
        <v>0</v>
      </c>
      <c r="I46" s="392">
        <v>0</v>
      </c>
      <c r="J46" s="392">
        <v>0</v>
      </c>
      <c r="K46" s="392">
        <v>0</v>
      </c>
      <c r="L46" s="392">
        <v>0</v>
      </c>
      <c r="M46" s="391">
        <f t="shared" si="0"/>
        <v>9014250.617825361</v>
      </c>
      <c r="N46" s="378">
        <f>(($M46-$E46)/((1+'Q_ES-1. Executive Summary'!$F$12)^$A46))+($E46/(1+'Q_ES-1. Executive Summary'!$F$13)^$A46)</f>
        <v>841805.45504102926</v>
      </c>
      <c r="O46" s="377">
        <f>$M46/((1+'Q_ES-1. Executive Summary'!$F$13)^$A46)</f>
        <v>3203515.0132591319</v>
      </c>
    </row>
    <row r="47" spans="1:15" ht="13.5" thickBot="1">
      <c r="A47" s="322">
        <f t="shared" si="1"/>
        <v>36</v>
      </c>
      <c r="B47" s="322">
        <f t="shared" si="2"/>
        <v>2058</v>
      </c>
      <c r="C47" s="397">
        <f>'Q_1B. Safety Backup'!G51</f>
        <v>127043.8</v>
      </c>
      <c r="D47" s="384">
        <f>SUM('Q_2B. Emissions Backup'!C217:E217)</f>
        <v>40170.894869241274</v>
      </c>
      <c r="E47" s="384">
        <f>'Q_2B. Emissions Backup'!F217</f>
        <v>-9945.6747307642509</v>
      </c>
      <c r="F47" s="384">
        <f>'Q_3D. TTS Backup All Years'!G127</f>
        <v>8866010.2613497805</v>
      </c>
      <c r="G47" s="396">
        <v>0</v>
      </c>
      <c r="H47" s="384">
        <v>0</v>
      </c>
      <c r="I47" s="384">
        <v>0</v>
      </c>
      <c r="J47" s="384">
        <v>0</v>
      </c>
      <c r="K47" s="384">
        <v>0</v>
      </c>
      <c r="L47" s="384">
        <v>0</v>
      </c>
      <c r="M47" s="395">
        <f t="shared" si="0"/>
        <v>9023279.2814882584</v>
      </c>
      <c r="N47" s="382">
        <f>(($M47-$E47)/((1+'Q_ES-1. Executive Summary'!$F$12)^$A47))+($E47/(1+'Q_ES-1. Executive Summary'!$F$13)^$A47)</f>
        <v>787295.89428501367</v>
      </c>
      <c r="O47" s="381">
        <f>$M47/((1+'Q_ES-1. Executive Summary'!$F$13)^$A47)</f>
        <v>3113323.9324556519</v>
      </c>
    </row>
    <row r="48" spans="1:15" ht="13.5" hidden="1" thickTop="1">
      <c r="A48" s="112">
        <f t="shared" si="1"/>
        <v>37</v>
      </c>
      <c r="B48" s="112" t="str">
        <f t="shared" si="2"/>
        <v/>
      </c>
      <c r="C48" s="394">
        <v>0</v>
      </c>
      <c r="D48" s="392">
        <v>0</v>
      </c>
      <c r="E48" s="392">
        <v>0</v>
      </c>
      <c r="F48" s="392">
        <v>0</v>
      </c>
      <c r="G48" s="393">
        <v>0</v>
      </c>
      <c r="H48" s="392"/>
      <c r="I48" s="392">
        <v>0</v>
      </c>
      <c r="J48" s="392"/>
      <c r="K48" s="392"/>
      <c r="L48" s="392"/>
      <c r="M48" s="391">
        <f t="shared" si="0"/>
        <v>0</v>
      </c>
      <c r="N48" s="378">
        <v>0</v>
      </c>
      <c r="O48" s="377">
        <v>0</v>
      </c>
    </row>
    <row r="49" spans="1:15" ht="13.5" hidden="1" thickTop="1">
      <c r="A49" s="112">
        <f t="shared" si="1"/>
        <v>38</v>
      </c>
      <c r="B49" s="112" t="str">
        <f t="shared" si="2"/>
        <v/>
      </c>
      <c r="C49" s="394">
        <v>0</v>
      </c>
      <c r="D49" s="392">
        <v>0</v>
      </c>
      <c r="E49" s="392">
        <v>0</v>
      </c>
      <c r="F49" s="392">
        <v>0</v>
      </c>
      <c r="G49" s="393">
        <v>0</v>
      </c>
      <c r="H49" s="392"/>
      <c r="I49" s="392">
        <v>0</v>
      </c>
      <c r="J49" s="392"/>
      <c r="K49" s="392"/>
      <c r="L49" s="392"/>
      <c r="M49" s="391">
        <f t="shared" si="0"/>
        <v>0</v>
      </c>
      <c r="N49" s="378">
        <v>0</v>
      </c>
      <c r="O49" s="377">
        <v>0</v>
      </c>
    </row>
    <row r="50" spans="1:15" ht="13.5" hidden="1" thickTop="1">
      <c r="A50" s="112">
        <f t="shared" si="1"/>
        <v>39</v>
      </c>
      <c r="B50" s="112" t="str">
        <f t="shared" si="2"/>
        <v/>
      </c>
      <c r="C50" s="394">
        <v>0</v>
      </c>
      <c r="D50" s="392">
        <v>0</v>
      </c>
      <c r="E50" s="392">
        <v>0</v>
      </c>
      <c r="F50" s="392">
        <v>0</v>
      </c>
      <c r="G50" s="393">
        <v>0</v>
      </c>
      <c r="H50" s="392"/>
      <c r="I50" s="392">
        <v>0</v>
      </c>
      <c r="J50" s="392"/>
      <c r="K50" s="392"/>
      <c r="L50" s="392"/>
      <c r="M50" s="391">
        <f t="shared" si="0"/>
        <v>0</v>
      </c>
      <c r="N50" s="378">
        <v>0</v>
      </c>
      <c r="O50" s="377">
        <v>0</v>
      </c>
    </row>
    <row r="51" spans="1:15" ht="13.5" hidden="1" thickTop="1">
      <c r="A51" s="112">
        <f t="shared" si="1"/>
        <v>40</v>
      </c>
      <c r="B51" s="112" t="str">
        <f t="shared" si="2"/>
        <v/>
      </c>
      <c r="C51" s="394">
        <v>0</v>
      </c>
      <c r="D51" s="392">
        <v>0</v>
      </c>
      <c r="E51" s="392">
        <v>0</v>
      </c>
      <c r="F51" s="392">
        <v>0</v>
      </c>
      <c r="G51" s="393">
        <v>0</v>
      </c>
      <c r="H51" s="392"/>
      <c r="I51" s="392">
        <v>0</v>
      </c>
      <c r="J51" s="392"/>
      <c r="K51" s="392"/>
      <c r="L51" s="392"/>
      <c r="M51" s="391">
        <f t="shared" si="0"/>
        <v>0</v>
      </c>
      <c r="N51" s="378">
        <v>0</v>
      </c>
      <c r="O51" s="377">
        <v>0</v>
      </c>
    </row>
    <row r="52" spans="1:15" ht="33" customHeight="1" thickTop="1">
      <c r="A52" s="461" t="s">
        <v>46</v>
      </c>
      <c r="B52" s="461"/>
      <c r="C52" s="376">
        <f t="shared" ref="C52:L52" si="3">SUM(C12:C51)</f>
        <v>3938357.799999998</v>
      </c>
      <c r="D52" s="376">
        <f t="shared" si="3"/>
        <v>1431071.5923437979</v>
      </c>
      <c r="E52" s="376">
        <f t="shared" si="3"/>
        <v>-119070.25439898347</v>
      </c>
      <c r="F52" s="376">
        <f t="shared" si="3"/>
        <v>270552364.00099891</v>
      </c>
      <c r="G52" s="390">
        <f t="shared" si="3"/>
        <v>0</v>
      </c>
      <c r="H52" s="376">
        <f t="shared" si="3"/>
        <v>-647661.3137642669</v>
      </c>
      <c r="I52" s="376">
        <f t="shared" si="3"/>
        <v>0</v>
      </c>
      <c r="J52" s="376">
        <f t="shared" si="3"/>
        <v>0</v>
      </c>
      <c r="K52" s="376">
        <f t="shared" si="3"/>
        <v>0</v>
      </c>
      <c r="L52" s="376">
        <f t="shared" si="3"/>
        <v>0</v>
      </c>
      <c r="M52" s="389">
        <f>SUM(M12:M47)</f>
        <v>275155061.8251794</v>
      </c>
      <c r="N52" s="374">
        <f>SUM(N12:N47)</f>
        <v>78594801.55840686</v>
      </c>
      <c r="O52" s="373">
        <f>SUM(O12:O47)</f>
        <v>152575856.97057006</v>
      </c>
    </row>
    <row r="55" spans="1:15">
      <c r="A55" s="71" t="s">
        <v>47</v>
      </c>
    </row>
    <row r="56" spans="1:15">
      <c r="C56" s="462"/>
      <c r="D56" s="462"/>
      <c r="E56" s="462"/>
      <c r="F56" s="462"/>
      <c r="G56" s="462"/>
      <c r="H56" s="462"/>
      <c r="I56" s="462"/>
      <c r="J56" s="462"/>
    </row>
    <row r="57" spans="1:15" ht="25.5">
      <c r="A57" s="255" t="s">
        <v>32</v>
      </c>
      <c r="B57" s="255" t="s">
        <v>21</v>
      </c>
      <c r="C57" s="255" t="s">
        <v>48</v>
      </c>
      <c r="D57" s="255" t="s">
        <v>49</v>
      </c>
      <c r="E57" s="336" t="s">
        <v>50</v>
      </c>
      <c r="F57" s="334" t="s">
        <v>51</v>
      </c>
      <c r="G57" s="335" t="s">
        <v>52</v>
      </c>
      <c r="H57" s="89"/>
    </row>
    <row r="58" spans="1:15">
      <c r="A58" s="112">
        <v>1</v>
      </c>
      <c r="B58" s="112">
        <f>First_Year</f>
        <v>2023</v>
      </c>
      <c r="C58" s="380">
        <f>'Q_10. Future Eligible Costs'!G15</f>
        <v>480000</v>
      </c>
      <c r="D58" s="380"/>
      <c r="E58" s="379">
        <f t="shared" ref="E58:E97" si="4">SUM(C58:D58)</f>
        <v>480000</v>
      </c>
      <c r="F58" s="378">
        <f>$E58/((1+'Q_ES-1. Executive Summary'!$F$12)^$A12)</f>
        <v>448598.13084112148</v>
      </c>
      <c r="G58" s="377">
        <f>$E58/((1+'Q_ES-1. Executive Summary'!$F$13)^$A12)</f>
        <v>466019.41747572814</v>
      </c>
      <c r="H58" s="450"/>
    </row>
    <row r="59" spans="1:15">
      <c r="A59" s="112">
        <f t="shared" ref="A59:A97" si="5">A58+1</f>
        <v>2</v>
      </c>
      <c r="B59" s="112">
        <f t="shared" ref="B59:B97" si="6">IFERROR(IF(B58+1&lt;Last_Year+1,B58+1,""),"")</f>
        <v>2024</v>
      </c>
      <c r="C59" s="380">
        <f>'Q_10. Future Eligible Costs'!G16</f>
        <v>2190000</v>
      </c>
      <c r="D59" s="380"/>
      <c r="E59" s="379">
        <f t="shared" si="4"/>
        <v>2190000</v>
      </c>
      <c r="F59" s="378">
        <f>$E59/((1+'Q_ES-1. Executive Summary'!$F$12)^$A13)</f>
        <v>1912830.8149183334</v>
      </c>
      <c r="G59" s="377">
        <f>$E59/((1+'Q_ES-1. Executive Summary'!$F$13)^$A13)</f>
        <v>2064285.0410029222</v>
      </c>
      <c r="H59" s="450"/>
    </row>
    <row r="60" spans="1:15">
      <c r="A60" s="112">
        <f t="shared" si="5"/>
        <v>3</v>
      </c>
      <c r="B60" s="112">
        <f t="shared" si="6"/>
        <v>2025</v>
      </c>
      <c r="C60" s="380">
        <f>'Q_10. Future Eligible Costs'!G17</f>
        <v>19900000</v>
      </c>
      <c r="D60" s="380"/>
      <c r="E60" s="379">
        <f t="shared" si="4"/>
        <v>19900000</v>
      </c>
      <c r="F60" s="378">
        <f>$E60/((1+'Q_ES-1. Executive Summary'!$F$12)^$A14)</f>
        <v>16244327.750127953</v>
      </c>
      <c r="G60" s="377">
        <f>$E60/((1+'Q_ES-1. Executive Summary'!$F$13)^$A14)</f>
        <v>18211319.021127876</v>
      </c>
      <c r="H60" s="450"/>
    </row>
    <row r="61" spans="1:15">
      <c r="A61" s="112">
        <f t="shared" si="5"/>
        <v>4</v>
      </c>
      <c r="B61" s="112">
        <f t="shared" si="6"/>
        <v>2026</v>
      </c>
      <c r="C61" s="380">
        <f>'Q_10. Future Eligible Costs'!G18</f>
        <v>10900000</v>
      </c>
      <c r="D61" s="380"/>
      <c r="E61" s="379">
        <f t="shared" si="4"/>
        <v>10900000</v>
      </c>
      <c r="F61" s="378">
        <f>$E61/((1+'Q_ES-1. Executive Summary'!$F$12)^$A15)</f>
        <v>8315557.811318025</v>
      </c>
      <c r="G61" s="377">
        <f>$E61/((1+'Q_ES-1. Executive Summary'!$F$13)^$A15)</f>
        <v>9684508.8222810104</v>
      </c>
      <c r="H61" s="450"/>
    </row>
    <row r="62" spans="1:15">
      <c r="A62" s="113">
        <f t="shared" si="5"/>
        <v>5</v>
      </c>
      <c r="B62" s="113">
        <f t="shared" si="6"/>
        <v>2027</v>
      </c>
      <c r="C62" s="388">
        <f>'Q_10. Future Eligible Costs'!G19</f>
        <v>5125000</v>
      </c>
      <c r="D62" s="388"/>
      <c r="E62" s="387">
        <f t="shared" si="4"/>
        <v>5125000</v>
      </c>
      <c r="F62" s="386">
        <f>$E62/((1+'Q_ES-1. Executive Summary'!$F$12)^$A16)</f>
        <v>3654054.1698538004</v>
      </c>
      <c r="G62" s="385">
        <f>$E62/((1+'Q_ES-1. Executive Summary'!$F$13)^$A16)</f>
        <v>4420870.0199688412</v>
      </c>
      <c r="H62" s="450"/>
    </row>
    <row r="63" spans="1:15">
      <c r="A63" s="113">
        <f t="shared" si="5"/>
        <v>6</v>
      </c>
      <c r="B63" s="113">
        <f t="shared" si="6"/>
        <v>2028</v>
      </c>
      <c r="C63" s="388">
        <f>'Q_10. Future Eligible Costs'!G20</f>
        <v>5405000</v>
      </c>
      <c r="D63" s="388"/>
      <c r="E63" s="387">
        <f t="shared" si="4"/>
        <v>5405000</v>
      </c>
      <c r="F63" s="386">
        <f>$E63/((1+'Q_ES-1. Executive Summary'!$F$12)^$A17)</f>
        <v>3601579.7197282501</v>
      </c>
      <c r="G63" s="385">
        <f>$E63/((1+'Q_ES-1. Executive Summary'!$F$13)^$A17)</f>
        <v>4526602.4073751522</v>
      </c>
      <c r="H63" s="450"/>
    </row>
    <row r="64" spans="1:15">
      <c r="A64" s="112">
        <f t="shared" si="5"/>
        <v>7</v>
      </c>
      <c r="B64" s="112">
        <f t="shared" si="6"/>
        <v>2029</v>
      </c>
      <c r="C64" s="380">
        <v>0</v>
      </c>
      <c r="D64" s="380">
        <f>Table7382116[[#Totals],[Cost Over 30 Years]]/30</f>
        <v>177333.33333333334</v>
      </c>
      <c r="E64" s="379">
        <f t="shared" si="4"/>
        <v>177333.33333333334</v>
      </c>
      <c r="F64" s="378">
        <f>$E64/((1+'Q_ES-1. Executive Summary'!$F$12)^$A18)</f>
        <v>110434.28756086749</v>
      </c>
      <c r="G64" s="377">
        <f>$E64/((1+'Q_ES-1. Executive Summary'!$F$13)^$A18)</f>
        <v>144188.22801155475</v>
      </c>
      <c r="H64" s="450"/>
    </row>
    <row r="65" spans="1:8">
      <c r="A65" s="112">
        <f t="shared" si="5"/>
        <v>8</v>
      </c>
      <c r="B65" s="112">
        <f t="shared" si="6"/>
        <v>2030</v>
      </c>
      <c r="C65" s="380">
        <v>0</v>
      </c>
      <c r="D65" s="380">
        <f>Table7382116[[#Totals],[Cost Over 30 Years]]/30</f>
        <v>177333.33333333334</v>
      </c>
      <c r="E65" s="379">
        <f t="shared" si="4"/>
        <v>177333.33333333334</v>
      </c>
      <c r="F65" s="378">
        <f>$E65/((1+'Q_ES-1. Executive Summary'!$F$12)^$A19)</f>
        <v>103209.61454286682</v>
      </c>
      <c r="G65" s="377">
        <f>$E65/((1+'Q_ES-1. Executive Summary'!$F$13)^$A19)</f>
        <v>139988.57088500462</v>
      </c>
      <c r="H65" s="450"/>
    </row>
    <row r="66" spans="1:8">
      <c r="A66" s="112">
        <f t="shared" si="5"/>
        <v>9</v>
      </c>
      <c r="B66" s="112">
        <f t="shared" si="6"/>
        <v>2031</v>
      </c>
      <c r="C66" s="380">
        <v>0</v>
      </c>
      <c r="D66" s="380">
        <f>Table7382116[[#Totals],[Cost Over 30 Years]]/30</f>
        <v>177333.33333333334</v>
      </c>
      <c r="E66" s="379">
        <f t="shared" si="4"/>
        <v>177333.33333333334</v>
      </c>
      <c r="F66" s="378">
        <f>$E66/((1+'Q_ES-1. Executive Summary'!$F$12)^$A20)</f>
        <v>96457.583684922254</v>
      </c>
      <c r="G66" s="377">
        <f>$E66/((1+'Q_ES-1. Executive Summary'!$F$13)^$A20)</f>
        <v>135911.23386893651</v>
      </c>
      <c r="H66" s="450"/>
    </row>
    <row r="67" spans="1:8">
      <c r="A67" s="112">
        <f t="shared" si="5"/>
        <v>10</v>
      </c>
      <c r="B67" s="112">
        <f t="shared" si="6"/>
        <v>2032</v>
      </c>
      <c r="C67" s="380">
        <v>0</v>
      </c>
      <c r="D67" s="380">
        <f>Table7382116[[#Totals],[Cost Over 30 Years]]/30</f>
        <v>177333.33333333334</v>
      </c>
      <c r="E67" s="379">
        <f t="shared" si="4"/>
        <v>177333.33333333334</v>
      </c>
      <c r="F67" s="378">
        <f>$E67/((1+'Q_ES-1. Executive Summary'!$F$12)^$A21)</f>
        <v>90147.274471889963</v>
      </c>
      <c r="G67" s="377">
        <f>$E67/((1+'Q_ES-1. Executive Summary'!$F$13)^$A21)</f>
        <v>131952.65424168593</v>
      </c>
      <c r="H67" s="450"/>
    </row>
    <row r="68" spans="1:8">
      <c r="A68" s="112">
        <f t="shared" si="5"/>
        <v>11</v>
      </c>
      <c r="B68" s="112">
        <f t="shared" si="6"/>
        <v>2033</v>
      </c>
      <c r="C68" s="380">
        <v>0</v>
      </c>
      <c r="D68" s="380">
        <f>Table7382116[[#Totals],[Cost Over 30 Years]]/30</f>
        <v>177333.33333333334</v>
      </c>
      <c r="E68" s="379">
        <f t="shared" si="4"/>
        <v>177333.33333333334</v>
      </c>
      <c r="F68" s="378">
        <f>$E68/((1+'Q_ES-1. Executive Summary'!$F$12)^$A22)</f>
        <v>84249.789226065375</v>
      </c>
      <c r="G68" s="377">
        <f>$E68/((1+'Q_ES-1. Executive Summary'!$F$13)^$A22)</f>
        <v>128109.37305018053</v>
      </c>
      <c r="H68" s="450"/>
    </row>
    <row r="69" spans="1:8">
      <c r="A69" s="112">
        <f t="shared" si="5"/>
        <v>12</v>
      </c>
      <c r="B69" s="112">
        <f t="shared" si="6"/>
        <v>2034</v>
      </c>
      <c r="C69" s="380">
        <v>0</v>
      </c>
      <c r="D69" s="380">
        <f>Table7382116[[#Totals],[Cost Over 30 Years]]/30</f>
        <v>177333.33333333334</v>
      </c>
      <c r="E69" s="379">
        <f t="shared" si="4"/>
        <v>177333.33333333334</v>
      </c>
      <c r="F69" s="378">
        <f>$E69/((1+'Q_ES-1. Executive Summary'!$F$12)^$A23)</f>
        <v>78738.120772023729</v>
      </c>
      <c r="G69" s="377">
        <f>$E69/((1+'Q_ES-1. Executive Summary'!$F$13)^$A23)</f>
        <v>124378.03208755392</v>
      </c>
      <c r="H69" s="450"/>
    </row>
    <row r="70" spans="1:8">
      <c r="A70" s="112">
        <f t="shared" si="5"/>
        <v>13</v>
      </c>
      <c r="B70" s="112">
        <f t="shared" si="6"/>
        <v>2035</v>
      </c>
      <c r="C70" s="380">
        <v>0</v>
      </c>
      <c r="D70" s="380">
        <f>Table7382116[[#Totals],[Cost Over 30 Years]]/30</f>
        <v>177333.33333333334</v>
      </c>
      <c r="E70" s="379">
        <f t="shared" si="4"/>
        <v>177333.33333333334</v>
      </c>
      <c r="F70" s="378">
        <f>$E70/((1+'Q_ES-1. Executive Summary'!$F$12)^$A24)</f>
        <v>73587.028758900677</v>
      </c>
      <c r="G70" s="377">
        <f>$E70/((1+'Q_ES-1. Executive Summary'!$F$13)^$A24)</f>
        <v>120755.37095879023</v>
      </c>
      <c r="H70" s="450"/>
    </row>
    <row r="71" spans="1:8">
      <c r="A71" s="112">
        <f t="shared" si="5"/>
        <v>14</v>
      </c>
      <c r="B71" s="112">
        <f t="shared" si="6"/>
        <v>2036</v>
      </c>
      <c r="C71" s="380">
        <v>0</v>
      </c>
      <c r="D71" s="380">
        <f>Table7382116[[#Totals],[Cost Over 30 Years]]/30</f>
        <v>177333.33333333334</v>
      </c>
      <c r="E71" s="379">
        <f t="shared" si="4"/>
        <v>177333.33333333334</v>
      </c>
      <c r="F71" s="378">
        <f>$E71/((1+'Q_ES-1. Executive Summary'!$F$12)^$A25)</f>
        <v>68772.924073738948</v>
      </c>
      <c r="G71" s="377">
        <f>$E71/((1+'Q_ES-1. Executive Summary'!$F$13)^$A25)</f>
        <v>117238.22423183515</v>
      </c>
      <c r="H71" s="450"/>
    </row>
    <row r="72" spans="1:8">
      <c r="A72" s="112">
        <f t="shared" si="5"/>
        <v>15</v>
      </c>
      <c r="B72" s="112">
        <f t="shared" si="6"/>
        <v>2037</v>
      </c>
      <c r="C72" s="380">
        <v>0</v>
      </c>
      <c r="D72" s="380">
        <f>Table7382116[[#Totals],[Cost Over 30 Years]]/30</f>
        <v>177333.33333333334</v>
      </c>
      <c r="E72" s="379">
        <f t="shared" si="4"/>
        <v>177333.33333333334</v>
      </c>
      <c r="F72" s="378">
        <f>$E72/((1+'Q_ES-1. Executive Summary'!$F$12)^$A26)</f>
        <v>64273.760816578455</v>
      </c>
      <c r="G72" s="377">
        <f>$E72/((1+'Q_ES-1. Executive Summary'!$F$13)^$A26)</f>
        <v>113823.51867168461</v>
      </c>
      <c r="H72" s="450"/>
    </row>
    <row r="73" spans="1:8">
      <c r="A73" s="112">
        <f t="shared" si="5"/>
        <v>16</v>
      </c>
      <c r="B73" s="112">
        <f t="shared" si="6"/>
        <v>2038</v>
      </c>
      <c r="C73" s="380">
        <v>0</v>
      </c>
      <c r="D73" s="380">
        <f>Table7382116[[#Totals],[Cost Over 30 Years]]/30</f>
        <v>177333.33333333334</v>
      </c>
      <c r="E73" s="379">
        <f t="shared" si="4"/>
        <v>177333.33333333334</v>
      </c>
      <c r="F73" s="378">
        <f>$E73/((1+'Q_ES-1. Executive Summary'!$F$12)^$A27)</f>
        <v>60068.935342596691</v>
      </c>
      <c r="G73" s="377">
        <f>$E73/((1+'Q_ES-1. Executive Summary'!$F$13)^$A27)</f>
        <v>110508.27055503362</v>
      </c>
      <c r="H73" s="450"/>
    </row>
    <row r="74" spans="1:8">
      <c r="A74" s="112">
        <f t="shared" si="5"/>
        <v>17</v>
      </c>
      <c r="B74" s="112">
        <f t="shared" si="6"/>
        <v>2039</v>
      </c>
      <c r="C74" s="380">
        <v>0</v>
      </c>
      <c r="D74" s="380">
        <f>Table7382116[[#Totals],[Cost Over 30 Years]]/30</f>
        <v>177333.33333333334</v>
      </c>
      <c r="E74" s="379">
        <f t="shared" si="4"/>
        <v>177333.33333333334</v>
      </c>
      <c r="F74" s="378">
        <f>$E74/((1+'Q_ES-1. Executive Summary'!$F$12)^$A28)</f>
        <v>56139.191908968867</v>
      </c>
      <c r="G74" s="377">
        <f>$E74/((1+'Q_ES-1. Executive Summary'!$F$13)^$A28)</f>
        <v>107289.58306313943</v>
      </c>
      <c r="H74" s="450"/>
    </row>
    <row r="75" spans="1:8">
      <c r="A75" s="112">
        <f t="shared" si="5"/>
        <v>18</v>
      </c>
      <c r="B75" s="112">
        <f t="shared" si="6"/>
        <v>2040</v>
      </c>
      <c r="C75" s="380">
        <v>0</v>
      </c>
      <c r="D75" s="380">
        <f>Table7382116[[#Totals],[Cost Over 30 Years]]/30</f>
        <v>177333.33333333334</v>
      </c>
      <c r="E75" s="379">
        <f t="shared" si="4"/>
        <v>177333.33333333334</v>
      </c>
      <c r="F75" s="378">
        <f>$E75/((1+'Q_ES-1. Executive Summary'!$F$12)^$A29)</f>
        <v>52466.534494363426</v>
      </c>
      <c r="G75" s="377">
        <f>$E75/((1+'Q_ES-1. Executive Summary'!$F$13)^$A29)</f>
        <v>104164.64375062082</v>
      </c>
      <c r="H75" s="450"/>
    </row>
    <row r="76" spans="1:8">
      <c r="A76" s="112">
        <f t="shared" si="5"/>
        <v>19</v>
      </c>
      <c r="B76" s="112">
        <f t="shared" si="6"/>
        <v>2041</v>
      </c>
      <c r="C76" s="380">
        <v>0</v>
      </c>
      <c r="D76" s="380">
        <f>Table7382116[[#Totals],[Cost Over 30 Years]]/30</f>
        <v>177333.33333333334</v>
      </c>
      <c r="E76" s="379">
        <f t="shared" si="4"/>
        <v>177333.33333333334</v>
      </c>
      <c r="F76" s="378">
        <f>$E76/((1+'Q_ES-1. Executive Summary'!$F$12)^$A30)</f>
        <v>49034.144387255539</v>
      </c>
      <c r="G76" s="377">
        <f>$E76/((1+'Q_ES-1. Executive Summary'!$F$13)^$A30)</f>
        <v>101130.72208798137</v>
      </c>
      <c r="H76" s="450"/>
    </row>
    <row r="77" spans="1:8">
      <c r="A77" s="112">
        <f t="shared" si="5"/>
        <v>20</v>
      </c>
      <c r="B77" s="112">
        <f t="shared" si="6"/>
        <v>2042</v>
      </c>
      <c r="C77" s="380">
        <v>0</v>
      </c>
      <c r="D77" s="380">
        <f>Table7382116[[#Totals],[Cost Over 30 Years]]/30</f>
        <v>177333.33333333334</v>
      </c>
      <c r="E77" s="379">
        <f t="shared" si="4"/>
        <v>177333.33333333334</v>
      </c>
      <c r="F77" s="378">
        <f>$E77/((1+'Q_ES-1. Executive Summary'!$F$12)^$A31)</f>
        <v>45826.303165659388</v>
      </c>
      <c r="G77" s="377">
        <f>$E77/((1+'Q_ES-1. Executive Summary'!$F$13)^$A31)</f>
        <v>98185.167075710066</v>
      </c>
      <c r="H77" s="450"/>
    </row>
    <row r="78" spans="1:8">
      <c r="A78" s="112">
        <f t="shared" si="5"/>
        <v>21</v>
      </c>
      <c r="B78" s="112">
        <f t="shared" si="6"/>
        <v>2043</v>
      </c>
      <c r="C78" s="380">
        <v>0</v>
      </c>
      <c r="D78" s="380">
        <f>Table7382116[[#Totals],[Cost Over 30 Years]]/30</f>
        <v>177333.33333333334</v>
      </c>
      <c r="E78" s="379">
        <f t="shared" si="4"/>
        <v>177333.33333333334</v>
      </c>
      <c r="F78" s="378">
        <f>$E78/((1+'Q_ES-1. Executive Summary'!$F$12)^$A32)</f>
        <v>42828.32071556952</v>
      </c>
      <c r="G78" s="377">
        <f>$E78/((1+'Q_ES-1. Executive Summary'!$F$13)^$A32)</f>
        <v>95325.404927873868</v>
      </c>
      <c r="H78" s="450"/>
    </row>
    <row r="79" spans="1:8">
      <c r="A79" s="112">
        <f t="shared" si="5"/>
        <v>22</v>
      </c>
      <c r="B79" s="112">
        <f t="shared" si="6"/>
        <v>2044</v>
      </c>
      <c r="C79" s="380">
        <v>0</v>
      </c>
      <c r="D79" s="380">
        <f>Table7382116[[#Totals],[Cost Over 30 Years]]/30</f>
        <v>177333.33333333334</v>
      </c>
      <c r="E79" s="379">
        <f t="shared" si="4"/>
        <v>177333.33333333334</v>
      </c>
      <c r="F79" s="378">
        <f>$E79/((1+'Q_ES-1. Executive Summary'!$F$12)^$A33)</f>
        <v>40026.467958476183</v>
      </c>
      <c r="G79" s="377">
        <f>$E79/((1+'Q_ES-1. Executive Summary'!$F$13)^$A33)</f>
        <v>92548.936823178505</v>
      </c>
      <c r="H79" s="450"/>
    </row>
    <row r="80" spans="1:8">
      <c r="A80" s="112">
        <f t="shared" si="5"/>
        <v>23</v>
      </c>
      <c r="B80" s="112">
        <f t="shared" si="6"/>
        <v>2045</v>
      </c>
      <c r="C80" s="380">
        <v>0</v>
      </c>
      <c r="D80" s="380">
        <f>Table7382116[[#Totals],[Cost Over 30 Years]]/30</f>
        <v>177333.33333333334</v>
      </c>
      <c r="E80" s="379">
        <f t="shared" si="4"/>
        <v>177333.33333333334</v>
      </c>
      <c r="F80" s="378">
        <f>$E80/((1+'Q_ES-1. Executive Summary'!$F$12)^$A34)</f>
        <v>37407.913979884281</v>
      </c>
      <c r="G80" s="377">
        <f>$E80/((1+'Q_ES-1. Executive Summary'!$F$13)^$A34)</f>
        <v>89853.336721532527</v>
      </c>
      <c r="H80" s="450"/>
    </row>
    <row r="81" spans="1:8">
      <c r="A81" s="112">
        <f t="shared" si="5"/>
        <v>24</v>
      </c>
      <c r="B81" s="112">
        <f t="shared" si="6"/>
        <v>2046</v>
      </c>
      <c r="C81" s="380">
        <v>0</v>
      </c>
      <c r="D81" s="380">
        <f>Table7382116[[#Totals],[Cost Over 30 Years]]/30</f>
        <v>177333.33333333334</v>
      </c>
      <c r="E81" s="379">
        <f t="shared" si="4"/>
        <v>177333.33333333334</v>
      </c>
      <c r="F81" s="378">
        <f>$E81/((1+'Q_ES-1. Executive Summary'!$F$12)^$A35)</f>
        <v>34960.66727091989</v>
      </c>
      <c r="G81" s="377">
        <f>$E81/((1+'Q_ES-1. Executive Summary'!$F$13)^$A35)</f>
        <v>87236.249244206352</v>
      </c>
      <c r="H81" s="450"/>
    </row>
    <row r="82" spans="1:8">
      <c r="A82" s="112">
        <f t="shared" si="5"/>
        <v>25</v>
      </c>
      <c r="B82" s="112">
        <f t="shared" si="6"/>
        <v>2047</v>
      </c>
      <c r="C82" s="380">
        <v>0</v>
      </c>
      <c r="D82" s="380">
        <f>Table7382116[[#Totals],[Cost Over 30 Years]]/30</f>
        <v>177333.33333333334</v>
      </c>
      <c r="E82" s="379">
        <f t="shared" si="4"/>
        <v>177333.33333333334</v>
      </c>
      <c r="F82" s="378">
        <f>$E82/((1+'Q_ES-1. Executive Summary'!$F$12)^$A36)</f>
        <v>32673.520813943818</v>
      </c>
      <c r="G82" s="377">
        <f>$E82/((1+'Q_ES-1. Executive Summary'!$F$13)^$A36)</f>
        <v>84695.387615734318</v>
      </c>
      <c r="H82" s="450"/>
    </row>
    <row r="83" spans="1:8">
      <c r="A83" s="112">
        <f t="shared" si="5"/>
        <v>26</v>
      </c>
      <c r="B83" s="112">
        <f t="shared" si="6"/>
        <v>2048</v>
      </c>
      <c r="C83" s="380">
        <v>0</v>
      </c>
      <c r="D83" s="380">
        <f>Table7382116[[#Totals],[Cost Over 30 Years]]/30</f>
        <v>177333.33333333334</v>
      </c>
      <c r="E83" s="379">
        <f t="shared" si="4"/>
        <v>177333.33333333334</v>
      </c>
      <c r="F83" s="378">
        <f>$E83/((1+'Q_ES-1. Executive Summary'!$F$12)^$A37)</f>
        <v>30536.000760695162</v>
      </c>
      <c r="G83" s="377">
        <f>$E83/((1+'Q_ES-1. Executive Summary'!$F$13)^$A37)</f>
        <v>82228.53166576146</v>
      </c>
      <c r="H83" s="450"/>
    </row>
    <row r="84" spans="1:8">
      <c r="A84" s="112">
        <f t="shared" si="5"/>
        <v>27</v>
      </c>
      <c r="B84" s="112">
        <f t="shared" si="6"/>
        <v>2049</v>
      </c>
      <c r="C84" s="380">
        <v>0</v>
      </c>
      <c r="D84" s="380">
        <f>Table7382116[[#Totals],[Cost Over 30 Years]]/30</f>
        <v>177333.33333333334</v>
      </c>
      <c r="E84" s="379">
        <f t="shared" si="4"/>
        <v>177333.33333333334</v>
      </c>
      <c r="F84" s="378">
        <f>$E84/((1+'Q_ES-1. Executive Summary'!$F$12)^$A38)</f>
        <v>28538.318467939396</v>
      </c>
      <c r="G84" s="377">
        <f>$E84/((1+'Q_ES-1. Executive Summary'!$F$13)^$A38)</f>
        <v>79833.525889088807</v>
      </c>
      <c r="H84" s="450"/>
    </row>
    <row r="85" spans="1:8">
      <c r="A85" s="112">
        <f t="shared" si="5"/>
        <v>28</v>
      </c>
      <c r="B85" s="112">
        <f t="shared" si="6"/>
        <v>2050</v>
      </c>
      <c r="C85" s="380">
        <v>0</v>
      </c>
      <c r="D85" s="380">
        <f>Table7382116[[#Totals],[Cost Over 30 Years]]/30</f>
        <v>177333.33333333334</v>
      </c>
      <c r="E85" s="379">
        <f t="shared" si="4"/>
        <v>177333.33333333334</v>
      </c>
      <c r="F85" s="378">
        <f>$E85/((1+'Q_ES-1. Executive Summary'!$F$12)^$A39)</f>
        <v>26671.325670971404</v>
      </c>
      <c r="G85" s="377">
        <f>$E85/((1+'Q_ES-1. Executive Summary'!$F$13)^$A39)</f>
        <v>77508.277562222138</v>
      </c>
      <c r="H85" s="450"/>
    </row>
    <row r="86" spans="1:8">
      <c r="A86" s="112">
        <f t="shared" si="5"/>
        <v>29</v>
      </c>
      <c r="B86" s="112">
        <f t="shared" si="6"/>
        <v>2051</v>
      </c>
      <c r="C86" s="380">
        <v>0</v>
      </c>
      <c r="D86" s="380">
        <f>Table7382116[[#Totals],[Cost Over 30 Years]]/30</f>
        <v>177333.33333333334</v>
      </c>
      <c r="E86" s="379">
        <f t="shared" si="4"/>
        <v>177333.33333333334</v>
      </c>
      <c r="F86" s="378">
        <f>$E86/((1+'Q_ES-1. Executive Summary'!$F$12)^$A40)</f>
        <v>24926.472589692901</v>
      </c>
      <c r="G86" s="377">
        <f>$E86/((1+'Q_ES-1. Executive Summary'!$F$13)^$A40)</f>
        <v>75250.754914778794</v>
      </c>
      <c r="H86" s="450"/>
    </row>
    <row r="87" spans="1:8">
      <c r="A87" s="112">
        <f t="shared" si="5"/>
        <v>30</v>
      </c>
      <c r="B87" s="112">
        <f t="shared" si="6"/>
        <v>2052</v>
      </c>
      <c r="C87" s="380">
        <v>0</v>
      </c>
      <c r="D87" s="380">
        <f>Table7382116[[#Totals],[Cost Over 30 Years]]/30</f>
        <v>177333.33333333334</v>
      </c>
      <c r="E87" s="379">
        <f t="shared" si="4"/>
        <v>177333.33333333334</v>
      </c>
      <c r="F87" s="378">
        <f>$E87/((1+'Q_ES-1. Executive Summary'!$F$12)^$A41)</f>
        <v>23295.768775413926</v>
      </c>
      <c r="G87" s="377">
        <f>$E87/((1+'Q_ES-1. Executive Summary'!$F$13)^$A41)</f>
        <v>73058.985354154167</v>
      </c>
      <c r="H87" s="450"/>
    </row>
    <row r="88" spans="1:8">
      <c r="A88" s="112">
        <f t="shared" si="5"/>
        <v>31</v>
      </c>
      <c r="B88" s="112">
        <f t="shared" si="6"/>
        <v>2053</v>
      </c>
      <c r="C88" s="380">
        <v>0</v>
      </c>
      <c r="D88" s="380">
        <f>Table7382116[[#Totals],[Cost Over 30 Years]]/30</f>
        <v>177333.33333333334</v>
      </c>
      <c r="E88" s="379">
        <f t="shared" si="4"/>
        <v>177333.33333333334</v>
      </c>
      <c r="F88" s="378">
        <f>$E88/((1+'Q_ES-1. Executive Summary'!$F$12)^$A42)</f>
        <v>21771.746519078431</v>
      </c>
      <c r="G88" s="377">
        <f>$E88/((1+'Q_ES-1. Executive Summary'!$F$13)^$A42)</f>
        <v>70931.053741897238</v>
      </c>
      <c r="H88" s="450"/>
    </row>
    <row r="89" spans="1:8">
      <c r="A89" s="112">
        <f t="shared" si="5"/>
        <v>32</v>
      </c>
      <c r="B89" s="112">
        <f t="shared" si="6"/>
        <v>2054</v>
      </c>
      <c r="C89" s="380">
        <v>0</v>
      </c>
      <c r="D89" s="380">
        <f>Table7382116[[#Totals],[Cost Over 30 Years]]/30</f>
        <v>177333.33333333334</v>
      </c>
      <c r="E89" s="379">
        <f t="shared" si="4"/>
        <v>177333.33333333334</v>
      </c>
      <c r="F89" s="378">
        <f>$E89/((1+'Q_ES-1. Executive Summary'!$F$12)^$A43)</f>
        <v>20347.426653344333</v>
      </c>
      <c r="G89" s="377">
        <f>$E89/((1+'Q_ES-1. Executive Summary'!$F$13)^$A43)</f>
        <v>68865.100720288596</v>
      </c>
      <c r="H89" s="450"/>
    </row>
    <row r="90" spans="1:8">
      <c r="A90" s="112">
        <f t="shared" si="5"/>
        <v>33</v>
      </c>
      <c r="B90" s="112">
        <f t="shared" si="6"/>
        <v>2055</v>
      </c>
      <c r="C90" s="380">
        <v>0</v>
      </c>
      <c r="D90" s="380">
        <f>Table7382116[[#Totals],[Cost Over 30 Years]]/30</f>
        <v>177333.33333333334</v>
      </c>
      <c r="E90" s="379">
        <f t="shared" si="4"/>
        <v>177333.33333333334</v>
      </c>
      <c r="F90" s="378">
        <f>$E90/((1+'Q_ES-1. Executive Summary'!$F$12)^$A44)</f>
        <v>19016.28659191059</v>
      </c>
      <c r="G90" s="377">
        <f>$E90/((1+'Q_ES-1. Executive Summary'!$F$13)^$A44)</f>
        <v>66859.321087658827</v>
      </c>
      <c r="H90" s="450"/>
    </row>
    <row r="91" spans="1:8">
      <c r="A91" s="112">
        <f t="shared" si="5"/>
        <v>34</v>
      </c>
      <c r="B91" s="112">
        <f t="shared" si="6"/>
        <v>2056</v>
      </c>
      <c r="C91" s="380">
        <v>0</v>
      </c>
      <c r="D91" s="380">
        <f>Table7382116[[#Totals],[Cost Over 30 Years]]/30</f>
        <v>177333.33333333334</v>
      </c>
      <c r="E91" s="379">
        <f t="shared" si="4"/>
        <v>177333.33333333334</v>
      </c>
      <c r="F91" s="378">
        <f>$E91/((1+'Q_ES-1. Executive Summary'!$F$12)^$A45)</f>
        <v>17772.230459729522</v>
      </c>
      <c r="G91" s="377">
        <f>$E91/((1+'Q_ES-1. Executive Summary'!$F$13)^$A45)</f>
        <v>64911.962221027992</v>
      </c>
      <c r="H91" s="450"/>
    </row>
    <row r="92" spans="1:8">
      <c r="A92" s="112">
        <f t="shared" si="5"/>
        <v>35</v>
      </c>
      <c r="B92" s="112">
        <f t="shared" si="6"/>
        <v>2057</v>
      </c>
      <c r="C92" s="380">
        <v>0</v>
      </c>
      <c r="D92" s="380">
        <f>Table7382116[[#Totals],[Cost Over 30 Years]]/30</f>
        <v>177333.33333333334</v>
      </c>
      <c r="E92" s="379">
        <f t="shared" si="4"/>
        <v>177333.33333333334</v>
      </c>
      <c r="F92" s="378">
        <f>$E92/((1+'Q_ES-1. Executive Summary'!$F$12)^$A46)</f>
        <v>16609.561177317311</v>
      </c>
      <c r="G92" s="377">
        <f>$E92/((1+'Q_ES-1. Executive Summary'!$F$13)^$A46)</f>
        <v>63021.322544687362</v>
      </c>
      <c r="H92" s="450"/>
    </row>
    <row r="93" spans="1:8" ht="13.5" thickBot="1">
      <c r="A93" s="322">
        <f t="shared" si="5"/>
        <v>36</v>
      </c>
      <c r="B93" s="322">
        <f t="shared" si="6"/>
        <v>2058</v>
      </c>
      <c r="C93" s="384">
        <v>0</v>
      </c>
      <c r="D93" s="384">
        <f>Table7382116[[#Totals],[Cost Over 30 Years]]/30</f>
        <v>177333.33333333334</v>
      </c>
      <c r="E93" s="383">
        <f t="shared" si="4"/>
        <v>177333.33333333334</v>
      </c>
      <c r="F93" s="382">
        <f>$E93/((1+'Q_ES-1. Executive Summary'!$F$12)^$A47)</f>
        <v>15522.954371324589</v>
      </c>
      <c r="G93" s="381">
        <f>$E93/((1+'Q_ES-1. Executive Summary'!$F$13)^$A47)</f>
        <v>61185.750043385793</v>
      </c>
      <c r="H93" s="450"/>
    </row>
    <row r="94" spans="1:8" ht="13.5" hidden="1" thickTop="1">
      <c r="A94" s="112">
        <f t="shared" si="5"/>
        <v>37</v>
      </c>
      <c r="B94" s="112" t="str">
        <f t="shared" si="6"/>
        <v/>
      </c>
      <c r="C94" s="380">
        <v>0</v>
      </c>
      <c r="D94" s="380"/>
      <c r="E94" s="379">
        <f t="shared" si="4"/>
        <v>0</v>
      </c>
      <c r="F94" s="378">
        <v>0</v>
      </c>
      <c r="G94" s="377">
        <v>0</v>
      </c>
      <c r="H94" s="450"/>
    </row>
    <row r="95" spans="1:8" ht="13.5" hidden="1" thickTop="1">
      <c r="A95" s="112">
        <f t="shared" si="5"/>
        <v>38</v>
      </c>
      <c r="B95" s="112" t="str">
        <f t="shared" si="6"/>
        <v/>
      </c>
      <c r="C95" s="380">
        <v>0</v>
      </c>
      <c r="D95" s="380"/>
      <c r="E95" s="379">
        <f t="shared" si="4"/>
        <v>0</v>
      </c>
      <c r="F95" s="378">
        <v>0</v>
      </c>
      <c r="G95" s="377">
        <v>0</v>
      </c>
      <c r="H95" s="450"/>
    </row>
    <row r="96" spans="1:8" ht="13.5" hidden="1" thickTop="1">
      <c r="A96" s="112">
        <f t="shared" si="5"/>
        <v>39</v>
      </c>
      <c r="B96" s="112" t="str">
        <f t="shared" si="6"/>
        <v/>
      </c>
      <c r="C96" s="380">
        <v>0</v>
      </c>
      <c r="D96" s="380"/>
      <c r="E96" s="379">
        <f t="shared" si="4"/>
        <v>0</v>
      </c>
      <c r="F96" s="378">
        <v>0</v>
      </c>
      <c r="G96" s="377">
        <v>0</v>
      </c>
      <c r="H96" s="450"/>
    </row>
    <row r="97" spans="1:8" ht="13.5" hidden="1" thickTop="1">
      <c r="A97" s="112">
        <f t="shared" si="5"/>
        <v>40</v>
      </c>
      <c r="B97" s="112" t="str">
        <f t="shared" si="6"/>
        <v/>
      </c>
      <c r="C97" s="380">
        <v>0</v>
      </c>
      <c r="D97" s="380"/>
      <c r="E97" s="379">
        <f t="shared" si="4"/>
        <v>0</v>
      </c>
      <c r="F97" s="378">
        <v>0</v>
      </c>
      <c r="G97" s="377">
        <v>0</v>
      </c>
      <c r="H97" s="450"/>
    </row>
    <row r="98" spans="1:8" ht="33" customHeight="1" thickTop="1">
      <c r="A98" s="461" t="s">
        <v>53</v>
      </c>
      <c r="B98" s="461"/>
      <c r="C98" s="376">
        <f t="shared" ref="C98:G98" si="7">SUM(C58:C93)</f>
        <v>44000000</v>
      </c>
      <c r="D98" s="376">
        <f t="shared" si="7"/>
        <v>5319999.9999999991</v>
      </c>
      <c r="E98" s="375">
        <f t="shared" si="7"/>
        <v>49320000.000000075</v>
      </c>
      <c r="F98" s="374">
        <f t="shared" si="7"/>
        <v>35643258.872770384</v>
      </c>
      <c r="G98" s="373">
        <f t="shared" si="7"/>
        <v>42284542.222848713</v>
      </c>
      <c r="H98" s="451"/>
    </row>
  </sheetData>
  <mergeCells count="5">
    <mergeCell ref="A52:B52"/>
    <mergeCell ref="C56:J56"/>
    <mergeCell ref="A98:B98"/>
    <mergeCell ref="A1:O1"/>
    <mergeCell ref="A7:O7"/>
  </mergeCells>
  <pageMargins left="0.7" right="0.7" top="0.75" bottom="0.75" header="0.3" footer="0.3"/>
  <pageSetup scale="48" fitToHeight="0" orientation="landscape" r:id="rId1"/>
  <rowBreaks count="1" manualBreakCount="1">
    <brk id="52"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pageSetUpPr fitToPage="1"/>
  </sheetPr>
  <dimension ref="A1:N68"/>
  <sheetViews>
    <sheetView showGridLines="0" topLeftCell="A5" zoomScaleNormal="100" workbookViewId="0">
      <selection activeCell="A12" sqref="A12"/>
    </sheetView>
  </sheetViews>
  <sheetFormatPr defaultColWidth="9.140625" defaultRowHeight="12.75"/>
  <cols>
    <col min="1" max="1" width="21.7109375" style="81" customWidth="1"/>
    <col min="2" max="2" width="26.5703125" style="81" customWidth="1"/>
    <col min="3" max="3" width="15.7109375" style="81" customWidth="1"/>
    <col min="4" max="6" width="25.7109375" style="81" customWidth="1"/>
    <col min="7" max="8" width="15.7109375" style="81" customWidth="1"/>
    <col min="9" max="9" width="21.7109375" style="81" customWidth="1"/>
    <col min="10" max="16384" width="9.140625" style="81"/>
  </cols>
  <sheetData>
    <row r="1" spans="1:14" ht="15" customHeight="1">
      <c r="A1" s="472" t="s">
        <v>71</v>
      </c>
      <c r="B1" s="472"/>
      <c r="C1" s="472"/>
      <c r="D1" s="472"/>
      <c r="E1" s="472"/>
      <c r="F1" s="472"/>
      <c r="G1" s="472"/>
      <c r="H1" s="472"/>
      <c r="I1" s="472"/>
    </row>
    <row r="2" spans="1:14" ht="15" customHeight="1">
      <c r="A2" s="99" t="s">
        <v>1</v>
      </c>
      <c r="B2" s="71" t="str">
        <f>Project_Name</f>
        <v>Completing the I-95 Missing Move and Quonset Connector Ramps</v>
      </c>
    </row>
    <row r="3" spans="1:14" ht="15" customHeight="1">
      <c r="A3" s="99" t="s">
        <v>2</v>
      </c>
      <c r="B3" s="71" t="s">
        <v>29</v>
      </c>
    </row>
    <row r="4" spans="1:14" ht="15" customHeight="1">
      <c r="A4" s="99" t="s">
        <v>4</v>
      </c>
      <c r="B4" s="100">
        <f>Date</f>
        <v>45159</v>
      </c>
    </row>
    <row r="5" spans="1:14" ht="30" customHeight="1">
      <c r="A5" s="99"/>
      <c r="B5" s="100"/>
    </row>
    <row r="6" spans="1:14" ht="13.5" thickBot="1">
      <c r="A6" s="99"/>
      <c r="B6" s="101"/>
    </row>
    <row r="7" spans="1:14" ht="62.25" customHeight="1">
      <c r="A7" s="480" t="s">
        <v>72</v>
      </c>
      <c r="B7" s="481"/>
      <c r="C7" s="481"/>
      <c r="D7" s="481"/>
      <c r="E7" s="481"/>
      <c r="F7" s="481"/>
      <c r="G7" s="481"/>
      <c r="H7" s="481"/>
      <c r="I7" s="482"/>
    </row>
    <row r="8" spans="1:14" ht="62.25" customHeight="1">
      <c r="A8" s="483"/>
      <c r="B8" s="484"/>
      <c r="C8" s="484"/>
      <c r="D8" s="484"/>
      <c r="E8" s="484"/>
      <c r="F8" s="484"/>
      <c r="G8" s="484"/>
      <c r="H8" s="484"/>
      <c r="I8" s="485"/>
    </row>
    <row r="9" spans="1:14" ht="62.25" customHeight="1">
      <c r="A9" s="483"/>
      <c r="B9" s="484"/>
      <c r="C9" s="484"/>
      <c r="D9" s="484"/>
      <c r="E9" s="484"/>
      <c r="F9" s="484"/>
      <c r="G9" s="484"/>
      <c r="H9" s="484"/>
      <c r="I9" s="485"/>
    </row>
    <row r="10" spans="1:14" ht="62.25" customHeight="1">
      <c r="A10" s="483"/>
      <c r="B10" s="484"/>
      <c r="C10" s="484"/>
      <c r="D10" s="484"/>
      <c r="E10" s="484"/>
      <c r="F10" s="484"/>
      <c r="G10" s="484"/>
      <c r="H10" s="484"/>
      <c r="I10" s="485"/>
      <c r="J10" s="470"/>
      <c r="K10" s="471"/>
      <c r="L10" s="471"/>
      <c r="M10" s="471"/>
      <c r="N10" s="471"/>
    </row>
    <row r="11" spans="1:14" ht="62.25" customHeight="1" thickBot="1">
      <c r="A11" s="486"/>
      <c r="B11" s="487"/>
      <c r="C11" s="487"/>
      <c r="D11" s="487"/>
      <c r="E11" s="487"/>
      <c r="F11" s="487"/>
      <c r="G11" s="487"/>
      <c r="H11" s="487"/>
      <c r="I11" s="488"/>
    </row>
    <row r="12" spans="1:14">
      <c r="A12" s="103"/>
      <c r="B12" s="104"/>
      <c r="C12" s="104"/>
      <c r="D12" s="104"/>
      <c r="E12" s="104"/>
      <c r="F12" s="104"/>
      <c r="G12" s="104"/>
      <c r="H12" s="104"/>
    </row>
    <row r="13" spans="1:14">
      <c r="A13" s="103"/>
      <c r="B13" s="104"/>
      <c r="C13" s="104"/>
      <c r="D13" s="104"/>
      <c r="E13" s="104"/>
      <c r="F13" s="104"/>
      <c r="G13" s="104"/>
      <c r="H13" s="104"/>
    </row>
    <row r="14" spans="1:14" ht="15" customHeight="1">
      <c r="B14" s="91" t="s">
        <v>73</v>
      </c>
      <c r="C14" s="473" t="s">
        <v>74</v>
      </c>
      <c r="D14" s="474"/>
      <c r="E14" s="474"/>
      <c r="F14" s="474"/>
      <c r="G14" s="474"/>
      <c r="H14" s="475"/>
    </row>
    <row r="15" spans="1:14" ht="15" customHeight="1">
      <c r="B15" s="91" t="s">
        <v>75</v>
      </c>
      <c r="C15" s="477" t="s">
        <v>76</v>
      </c>
      <c r="D15" s="478"/>
      <c r="E15" s="478"/>
      <c r="F15" s="478"/>
      <c r="G15" s="478"/>
      <c r="H15" s="479"/>
    </row>
    <row r="16" spans="1:14">
      <c r="B16" s="90"/>
      <c r="C16" s="119"/>
      <c r="D16" s="119"/>
      <c r="E16" s="119"/>
      <c r="F16" s="119"/>
      <c r="G16" s="119"/>
      <c r="H16" s="119"/>
    </row>
    <row r="17" spans="2:8" ht="25.5">
      <c r="B17" s="122" t="s">
        <v>77</v>
      </c>
      <c r="C17" s="122" t="s">
        <v>78</v>
      </c>
      <c r="D17" s="122" t="s">
        <v>79</v>
      </c>
      <c r="E17" s="122" t="s">
        <v>80</v>
      </c>
      <c r="F17" s="122" t="s">
        <v>81</v>
      </c>
      <c r="G17" s="122" t="s">
        <v>82</v>
      </c>
      <c r="H17" s="122" t="s">
        <v>83</v>
      </c>
    </row>
    <row r="18" spans="2:8">
      <c r="B18" s="127" t="s">
        <v>84</v>
      </c>
      <c r="C18" s="203">
        <v>201</v>
      </c>
      <c r="D18" s="177">
        <f t="shared" ref="D18:D22" si="0">C18/1</f>
        <v>201</v>
      </c>
      <c r="E18" s="203">
        <v>-0.09</v>
      </c>
      <c r="F18" s="177">
        <f>D18*E18</f>
        <v>-18.09</v>
      </c>
      <c r="G18" s="175">
        <f>VLOOKUP(Table1.1_Safety1[[#This Row],[Crash Severity]],TableA1_KABCO[],2,FALSE)</f>
        <v>4000</v>
      </c>
      <c r="H18" s="175">
        <f t="shared" ref="H18:H19" si="1">G18*F18</f>
        <v>-72360</v>
      </c>
    </row>
    <row r="19" spans="2:8">
      <c r="B19" s="127" t="s">
        <v>85</v>
      </c>
      <c r="C19" s="203">
        <v>46</v>
      </c>
      <c r="D19" s="177">
        <f t="shared" si="0"/>
        <v>46</v>
      </c>
      <c r="E19" s="203">
        <v>4.0000000000000001E-3</v>
      </c>
      <c r="F19" s="177">
        <f t="shared" ref="F19:F22" si="2">D19*E19</f>
        <v>0.184</v>
      </c>
      <c r="G19" s="175">
        <f>VLOOKUP(Table1.1_Safety1[[#This Row],[Crash Severity]],TableA1_KABCO[],2,FALSE)</f>
        <v>78500</v>
      </c>
      <c r="H19" s="175">
        <f t="shared" si="1"/>
        <v>14444</v>
      </c>
    </row>
    <row r="20" spans="2:8">
      <c r="B20" s="127" t="s">
        <v>86</v>
      </c>
      <c r="C20" s="203">
        <v>4</v>
      </c>
      <c r="D20" s="177">
        <f t="shared" si="0"/>
        <v>4</v>
      </c>
      <c r="E20" s="203">
        <v>0.05</v>
      </c>
      <c r="F20" s="177">
        <f t="shared" si="2"/>
        <v>0.2</v>
      </c>
      <c r="G20" s="175">
        <f>VLOOKUP(Table1.1_Safety1[[#This Row],[Crash Severity]],TableA1_KABCO[],2,FALSE)</f>
        <v>153700</v>
      </c>
      <c r="H20" s="175">
        <f>G20*F20</f>
        <v>30740</v>
      </c>
    </row>
    <row r="21" spans="2:8">
      <c r="B21" s="127" t="s">
        <v>87</v>
      </c>
      <c r="C21" s="203">
        <v>1</v>
      </c>
      <c r="D21" s="177">
        <f t="shared" si="0"/>
        <v>1</v>
      </c>
      <c r="E21" s="203">
        <v>0.06</v>
      </c>
      <c r="F21" s="177">
        <f t="shared" si="2"/>
        <v>0.06</v>
      </c>
      <c r="G21" s="175">
        <f>VLOOKUP(Table1.1_Safety1[[#This Row],[Crash Severity]],TableA1_KABCO[],2,FALSE)</f>
        <v>564300</v>
      </c>
      <c r="H21" s="175">
        <f t="shared" ref="H21:H22" si="3">G21*F21</f>
        <v>33858</v>
      </c>
    </row>
    <row r="22" spans="2:8">
      <c r="B22" s="127" t="s">
        <v>88</v>
      </c>
      <c r="C22" s="203">
        <v>1</v>
      </c>
      <c r="D22" s="177">
        <f t="shared" si="0"/>
        <v>1</v>
      </c>
      <c r="E22" s="203">
        <v>0.05</v>
      </c>
      <c r="F22" s="177">
        <f t="shared" si="2"/>
        <v>0.05</v>
      </c>
      <c r="G22" s="175">
        <f>VLOOKUP(Table1.1_Safety1[[#This Row],[Crash Severity]],TableA1_KABCO[],2,FALSE)</f>
        <v>11800000</v>
      </c>
      <c r="H22" s="175">
        <f t="shared" si="3"/>
        <v>590000</v>
      </c>
    </row>
    <row r="23" spans="2:8">
      <c r="B23" s="127" t="s">
        <v>89</v>
      </c>
      <c r="C23" s="203"/>
      <c r="D23" s="177">
        <f t="shared" ref="D23:D26" si="4">C23/1</f>
        <v>0</v>
      </c>
      <c r="E23" s="203"/>
      <c r="F23" s="177">
        <f>D23*E23</f>
        <v>0</v>
      </c>
      <c r="G23" s="175">
        <f>VLOOKUP(Table1.1_Safety1[[#This Row],[Crash Severity]],TableA1_KABCO[],2,FALSE)</f>
        <v>213900</v>
      </c>
      <c r="H23" s="175">
        <f>G23*F23</f>
        <v>0</v>
      </c>
    </row>
    <row r="24" spans="2:8" ht="25.5">
      <c r="B24" s="127" t="s">
        <v>90</v>
      </c>
      <c r="C24" s="203"/>
      <c r="D24" s="177">
        <f t="shared" si="4"/>
        <v>0</v>
      </c>
      <c r="E24" s="203"/>
      <c r="F24" s="177">
        <f>D24*E24</f>
        <v>0</v>
      </c>
      <c r="G24" s="175">
        <f>VLOOKUP(Table1.1_Safety1[[#This Row],[Crash Severity]],TableA1_KABCO[],2,FALSE)</f>
        <v>162600</v>
      </c>
      <c r="H24" s="175">
        <f>G24*F24</f>
        <v>0</v>
      </c>
    </row>
    <row r="25" spans="2:8">
      <c r="B25" s="127" t="s">
        <v>91</v>
      </c>
      <c r="C25" s="203"/>
      <c r="D25" s="177">
        <f t="shared" si="4"/>
        <v>0</v>
      </c>
      <c r="E25" s="203"/>
      <c r="F25" s="177">
        <f>D25*E25</f>
        <v>0</v>
      </c>
      <c r="G25" s="175">
        <f>VLOOKUP(Table1.1_Safety1[[#This Row],[Crash Severity]],TableA1_KABCO[],2,FALSE)</f>
        <v>307800</v>
      </c>
      <c r="H25" s="175">
        <f>G25*F25</f>
        <v>0</v>
      </c>
    </row>
    <row r="26" spans="2:8">
      <c r="B26" s="127" t="s">
        <v>92</v>
      </c>
      <c r="C26" s="203"/>
      <c r="D26" s="177">
        <f t="shared" si="4"/>
        <v>0</v>
      </c>
      <c r="E26" s="203"/>
      <c r="F26" s="177">
        <f>D26*E26</f>
        <v>0</v>
      </c>
      <c r="G26" s="175">
        <f>VLOOKUP(Table1.1_Safety1[[#This Row],[Crash Severity]],TableA1_KABCO[],2,FALSE)</f>
        <v>13046800</v>
      </c>
      <c r="H26" s="175">
        <f>G26*F26</f>
        <v>0</v>
      </c>
    </row>
    <row r="27" spans="2:8">
      <c r="B27" s="89" t="s">
        <v>28</v>
      </c>
      <c r="C27" s="59">
        <f>SUBTOTAL(109,Table1.1_Safety1[Total Crashes])</f>
        <v>253</v>
      </c>
      <c r="D27" s="59">
        <f>SUBTOTAL(109,Table1.1_Safety1[Number of Crashes per Year])</f>
        <v>253</v>
      </c>
      <c r="E27" s="59">
        <f>SUBTOTAL(101,Table1.1_Safety1[Crash Reduction Factor])</f>
        <v>1.4800000000000002E-2</v>
      </c>
      <c r="F27" s="59">
        <f>SUBTOTAL(109,Table1.1_Safety1[Predicted Annual Crash Reduction])</f>
        <v>-17.596</v>
      </c>
      <c r="G27" s="59"/>
      <c r="H27" s="222">
        <f>SUBTOTAL(109,Table1.1_Safety1[Annual Savings])</f>
        <v>596682</v>
      </c>
    </row>
    <row r="28" spans="2:8">
      <c r="G28" s="91"/>
      <c r="H28" s="105"/>
    </row>
    <row r="29" spans="2:8">
      <c r="G29" s="91"/>
      <c r="H29" s="105"/>
    </row>
    <row r="30" spans="2:8" ht="15" customHeight="1">
      <c r="B30" s="91" t="s">
        <v>93</v>
      </c>
      <c r="C30" s="473"/>
      <c r="D30" s="474"/>
      <c r="E30" s="474"/>
      <c r="F30" s="474"/>
      <c r="G30" s="474"/>
      <c r="H30" s="475"/>
    </row>
    <row r="31" spans="2:8" ht="15" customHeight="1">
      <c r="B31" s="91" t="s">
        <v>75</v>
      </c>
      <c r="C31" s="473"/>
      <c r="D31" s="474"/>
      <c r="E31" s="474"/>
      <c r="F31" s="474"/>
      <c r="G31" s="474"/>
      <c r="H31" s="475"/>
    </row>
    <row r="32" spans="2:8">
      <c r="B32" s="90"/>
      <c r="C32" s="119"/>
      <c r="D32" s="119"/>
      <c r="E32" s="119"/>
      <c r="F32" s="119"/>
      <c r="G32" s="119"/>
      <c r="H32" s="119"/>
    </row>
    <row r="33" spans="2:8" ht="25.5">
      <c r="B33" s="122" t="s">
        <v>77</v>
      </c>
      <c r="C33" s="122" t="s">
        <v>78</v>
      </c>
      <c r="D33" s="122" t="s">
        <v>79</v>
      </c>
      <c r="E33" s="122" t="s">
        <v>80</v>
      </c>
      <c r="F33" s="122" t="s">
        <v>81</v>
      </c>
      <c r="G33" s="122" t="s">
        <v>82</v>
      </c>
      <c r="H33" s="122" t="s">
        <v>83</v>
      </c>
    </row>
    <row r="34" spans="2:8">
      <c r="B34" s="127" t="s">
        <v>84</v>
      </c>
      <c r="C34" s="203"/>
      <c r="D34" s="177">
        <f t="shared" ref="D34:D38" si="5">C34/7</f>
        <v>0</v>
      </c>
      <c r="E34" s="203"/>
      <c r="F34" s="177">
        <f>D34*E34</f>
        <v>0</v>
      </c>
      <c r="G34" s="175">
        <f>VLOOKUP(Table1.2_Safety2[[#This Row],[Crash Severity]],TableA1_KABCO[],2,FALSE)</f>
        <v>4000</v>
      </c>
      <c r="H34" s="175">
        <f t="shared" ref="H34:H35" si="6">G34*F34</f>
        <v>0</v>
      </c>
    </row>
    <row r="35" spans="2:8">
      <c r="B35" s="127" t="s">
        <v>85</v>
      </c>
      <c r="C35" s="203"/>
      <c r="D35" s="177">
        <f t="shared" si="5"/>
        <v>0</v>
      </c>
      <c r="E35" s="203"/>
      <c r="F35" s="177">
        <f t="shared" ref="F35:F38" si="7">D35*E35</f>
        <v>0</v>
      </c>
      <c r="G35" s="175">
        <f>VLOOKUP(Table1.2_Safety2[[#This Row],[Crash Severity]],TableA1_KABCO[],2,FALSE)</f>
        <v>78500</v>
      </c>
      <c r="H35" s="175">
        <f t="shared" si="6"/>
        <v>0</v>
      </c>
    </row>
    <row r="36" spans="2:8">
      <c r="B36" s="127" t="s">
        <v>86</v>
      </c>
      <c r="C36" s="203"/>
      <c r="D36" s="177">
        <f t="shared" si="5"/>
        <v>0</v>
      </c>
      <c r="E36" s="203"/>
      <c r="F36" s="177">
        <f t="shared" si="7"/>
        <v>0</v>
      </c>
      <c r="G36" s="175">
        <f>VLOOKUP(Table1.2_Safety2[[#This Row],[Crash Severity]],TableA1_KABCO[],2,FALSE)</f>
        <v>153700</v>
      </c>
      <c r="H36" s="175">
        <f>G36*F36</f>
        <v>0</v>
      </c>
    </row>
    <row r="37" spans="2:8">
      <c r="B37" s="127" t="s">
        <v>87</v>
      </c>
      <c r="C37" s="203"/>
      <c r="D37" s="177">
        <f t="shared" si="5"/>
        <v>0</v>
      </c>
      <c r="E37" s="203"/>
      <c r="F37" s="177">
        <f t="shared" si="7"/>
        <v>0</v>
      </c>
      <c r="G37" s="175">
        <f>VLOOKUP(Table1.2_Safety2[[#This Row],[Crash Severity]],TableA1_KABCO[],2,FALSE)</f>
        <v>564300</v>
      </c>
      <c r="H37" s="175">
        <f t="shared" ref="H37:H38" si="8">G37*F37</f>
        <v>0</v>
      </c>
    </row>
    <row r="38" spans="2:8">
      <c r="B38" s="127" t="s">
        <v>88</v>
      </c>
      <c r="C38" s="203"/>
      <c r="D38" s="177">
        <f t="shared" si="5"/>
        <v>0</v>
      </c>
      <c r="E38" s="203"/>
      <c r="F38" s="177">
        <f t="shared" si="7"/>
        <v>0</v>
      </c>
      <c r="G38" s="175">
        <f>VLOOKUP(Table1.2_Safety2[[#This Row],[Crash Severity]],TableA1_KABCO[],2,FALSE)</f>
        <v>11800000</v>
      </c>
      <c r="H38" s="175">
        <f t="shared" si="8"/>
        <v>0</v>
      </c>
    </row>
    <row r="39" spans="2:8">
      <c r="B39" s="127" t="s">
        <v>89</v>
      </c>
      <c r="C39" s="203"/>
      <c r="D39" s="177">
        <f t="shared" ref="D39:D42" si="9">C39/5</f>
        <v>0</v>
      </c>
      <c r="E39" s="203"/>
      <c r="F39" s="177">
        <f>D39*E39</f>
        <v>0</v>
      </c>
      <c r="G39" s="175">
        <f>VLOOKUP(Table1.2_Safety2[[#This Row],[Crash Severity]],TableA1_KABCO[],2,FALSE)</f>
        <v>213900</v>
      </c>
      <c r="H39" s="175">
        <f>G39*F39</f>
        <v>0</v>
      </c>
    </row>
    <row r="40" spans="2:8" ht="25.5">
      <c r="B40" s="127" t="s">
        <v>90</v>
      </c>
      <c r="C40" s="203"/>
      <c r="D40" s="177">
        <f t="shared" si="9"/>
        <v>0</v>
      </c>
      <c r="E40" s="203"/>
      <c r="F40" s="177">
        <f>D40*E40</f>
        <v>0</v>
      </c>
      <c r="G40" s="175">
        <f>VLOOKUP(Table1.2_Safety2[[#This Row],[Crash Severity]],TableA1_KABCO[],2,FALSE)</f>
        <v>162600</v>
      </c>
      <c r="H40" s="175">
        <f>G40*F40</f>
        <v>0</v>
      </c>
    </row>
    <row r="41" spans="2:8">
      <c r="B41" s="127" t="s">
        <v>91</v>
      </c>
      <c r="C41" s="203"/>
      <c r="D41" s="177">
        <f t="shared" si="9"/>
        <v>0</v>
      </c>
      <c r="E41" s="203"/>
      <c r="F41" s="177">
        <f>D41*E41</f>
        <v>0</v>
      </c>
      <c r="G41" s="175">
        <f>VLOOKUP(Table1.2_Safety2[[#This Row],[Crash Severity]],TableA1_KABCO[],2,FALSE)</f>
        <v>307800</v>
      </c>
      <c r="H41" s="175">
        <f>G41*F41</f>
        <v>0</v>
      </c>
    </row>
    <row r="42" spans="2:8">
      <c r="B42" s="127" t="s">
        <v>92</v>
      </c>
      <c r="C42" s="203"/>
      <c r="D42" s="177">
        <f t="shared" si="9"/>
        <v>0</v>
      </c>
      <c r="E42" s="203"/>
      <c r="F42" s="177">
        <f>D42*E42</f>
        <v>0</v>
      </c>
      <c r="G42" s="175">
        <f>VLOOKUP(Table1.2_Safety2[[#This Row],[Crash Severity]],TableA1_KABCO[],2,FALSE)</f>
        <v>13046800</v>
      </c>
      <c r="H42" s="175">
        <f>G42*F42</f>
        <v>0</v>
      </c>
    </row>
    <row r="43" spans="2:8">
      <c r="B43" s="89" t="s">
        <v>28</v>
      </c>
      <c r="C43" s="59">
        <f>SUBTOTAL(109,Table1.2_Safety2[Total Crashes])</f>
        <v>0</v>
      </c>
      <c r="D43" s="59">
        <f>SUBTOTAL(109,Table1.2_Safety2[Number of Crashes per Year])</f>
        <v>0</v>
      </c>
      <c r="E43" s="59" t="e">
        <f>SUBTOTAL(101,Table1.2_Safety2[Crash Reduction Factor])</f>
        <v>#DIV/0!</v>
      </c>
      <c r="F43" s="59">
        <f>SUBTOTAL(109,Table1.2_Safety2[Predicted Annual Crash Reduction])</f>
        <v>0</v>
      </c>
      <c r="G43" s="59"/>
      <c r="H43" s="222">
        <f>SUBTOTAL(109,Table1.2_Safety2[Annual Savings])</f>
        <v>0</v>
      </c>
    </row>
    <row r="44" spans="2:8">
      <c r="B44" s="90"/>
      <c r="C44" s="90"/>
      <c r="D44" s="90"/>
      <c r="E44" s="90"/>
      <c r="F44" s="90"/>
      <c r="G44" s="91"/>
      <c r="H44" s="120"/>
    </row>
    <row r="45" spans="2:8">
      <c r="B45" s="90"/>
      <c r="C45" s="90"/>
      <c r="D45" s="90"/>
      <c r="E45" s="90"/>
      <c r="F45" s="90"/>
      <c r="G45" s="91"/>
      <c r="H45" s="120"/>
    </row>
    <row r="46" spans="2:8">
      <c r="B46" s="91" t="s">
        <v>94</v>
      </c>
      <c r="C46" s="476"/>
      <c r="D46" s="476"/>
      <c r="E46" s="476"/>
      <c r="F46" s="476"/>
      <c r="G46" s="476"/>
      <c r="H46" s="476"/>
    </row>
    <row r="47" spans="2:8" ht="15" customHeight="1">
      <c r="B47" s="91" t="s">
        <v>75</v>
      </c>
      <c r="C47" s="476"/>
      <c r="D47" s="476"/>
      <c r="E47" s="476"/>
      <c r="F47" s="476"/>
      <c r="G47" s="476"/>
      <c r="H47" s="476"/>
    </row>
    <row r="48" spans="2:8">
      <c r="B48" s="90"/>
      <c r="C48" s="119"/>
      <c r="D48" s="119"/>
      <c r="E48" s="119"/>
      <c r="F48" s="119"/>
      <c r="G48" s="119"/>
      <c r="H48" s="119"/>
    </row>
    <row r="49" spans="2:8" ht="25.5">
      <c r="B49" s="122" t="s">
        <v>77</v>
      </c>
      <c r="C49" s="122" t="s">
        <v>78</v>
      </c>
      <c r="D49" s="122" t="s">
        <v>79</v>
      </c>
      <c r="E49" s="122" t="s">
        <v>80</v>
      </c>
      <c r="F49" s="122" t="s">
        <v>81</v>
      </c>
      <c r="G49" s="122" t="s">
        <v>82</v>
      </c>
      <c r="H49" s="122" t="s">
        <v>83</v>
      </c>
    </row>
    <row r="50" spans="2:8">
      <c r="B50" s="127" t="s">
        <v>84</v>
      </c>
      <c r="C50" s="203"/>
      <c r="D50" s="177">
        <f>C50/7</f>
        <v>0</v>
      </c>
      <c r="E50" s="203"/>
      <c r="F50" s="177">
        <f>D50*E50</f>
        <v>0</v>
      </c>
      <c r="G50" s="175">
        <f>VLOOKUP(Table1.3_Safety3[[#This Row],[Crash Severity]],TableA1_KABCO[],2,FALSE)</f>
        <v>4000</v>
      </c>
      <c r="H50" s="175">
        <f t="shared" ref="H50:H51" si="10">G50*F50</f>
        <v>0</v>
      </c>
    </row>
    <row r="51" spans="2:8">
      <c r="B51" s="127" t="s">
        <v>85</v>
      </c>
      <c r="C51" s="203"/>
      <c r="D51" s="177">
        <f t="shared" ref="D51:D54" si="11">C51/7</f>
        <v>0</v>
      </c>
      <c r="E51" s="203"/>
      <c r="F51" s="177">
        <f t="shared" ref="F51:F54" si="12">D51*E51</f>
        <v>0</v>
      </c>
      <c r="G51" s="175">
        <f>VLOOKUP(Table1.3_Safety3[[#This Row],[Crash Severity]],TableA1_KABCO[],2,FALSE)</f>
        <v>78500</v>
      </c>
      <c r="H51" s="175">
        <f t="shared" si="10"/>
        <v>0</v>
      </c>
    </row>
    <row r="52" spans="2:8">
      <c r="B52" s="127" t="s">
        <v>86</v>
      </c>
      <c r="C52" s="203"/>
      <c r="D52" s="177">
        <f t="shared" si="11"/>
        <v>0</v>
      </c>
      <c r="E52" s="203"/>
      <c r="F52" s="177">
        <f t="shared" si="12"/>
        <v>0</v>
      </c>
      <c r="G52" s="175">
        <f>VLOOKUP(Table1.3_Safety3[[#This Row],[Crash Severity]],TableA1_KABCO[],2,FALSE)</f>
        <v>153700</v>
      </c>
      <c r="H52" s="175">
        <f>G52*F52</f>
        <v>0</v>
      </c>
    </row>
    <row r="53" spans="2:8">
      <c r="B53" s="127" t="s">
        <v>87</v>
      </c>
      <c r="C53" s="203"/>
      <c r="D53" s="177">
        <f t="shared" si="11"/>
        <v>0</v>
      </c>
      <c r="E53" s="203"/>
      <c r="F53" s="177">
        <f t="shared" si="12"/>
        <v>0</v>
      </c>
      <c r="G53" s="175">
        <f>VLOOKUP(Table1.3_Safety3[[#This Row],[Crash Severity]],TableA1_KABCO[],2,FALSE)</f>
        <v>564300</v>
      </c>
      <c r="H53" s="175">
        <f t="shared" ref="H53:H54" si="13">G53*F53</f>
        <v>0</v>
      </c>
    </row>
    <row r="54" spans="2:8">
      <c r="B54" s="127" t="s">
        <v>88</v>
      </c>
      <c r="C54" s="203"/>
      <c r="D54" s="177">
        <f t="shared" si="11"/>
        <v>0</v>
      </c>
      <c r="E54" s="203"/>
      <c r="F54" s="177">
        <f t="shared" si="12"/>
        <v>0</v>
      </c>
      <c r="G54" s="175">
        <f>VLOOKUP(Table1.3_Safety3[[#This Row],[Crash Severity]],TableA1_KABCO[],2,FALSE)</f>
        <v>11800000</v>
      </c>
      <c r="H54" s="175">
        <f t="shared" si="13"/>
        <v>0</v>
      </c>
    </row>
    <row r="55" spans="2:8">
      <c r="B55" s="127" t="s">
        <v>89</v>
      </c>
      <c r="C55" s="203"/>
      <c r="D55" s="177">
        <f>C55/7</f>
        <v>0</v>
      </c>
      <c r="E55" s="203"/>
      <c r="F55" s="177">
        <f>D55*E55</f>
        <v>0</v>
      </c>
      <c r="G55" s="175">
        <f>VLOOKUP(Table1.3_Safety3[[#This Row],[Crash Severity]],TableA1_KABCO[],2,FALSE)</f>
        <v>213900</v>
      </c>
      <c r="H55" s="175">
        <f>G55*F55</f>
        <v>0</v>
      </c>
    </row>
    <row r="56" spans="2:8" ht="25.5">
      <c r="B56" s="127" t="s">
        <v>90</v>
      </c>
      <c r="C56" s="203"/>
      <c r="D56" s="177">
        <f>C56/7</f>
        <v>0</v>
      </c>
      <c r="E56" s="203"/>
      <c r="F56" s="177">
        <f>D56*E56</f>
        <v>0</v>
      </c>
      <c r="G56" s="175">
        <f>VLOOKUP(Table1.3_Safety3[[#This Row],[Crash Severity]],TableA1_KABCO[],2,FALSE)</f>
        <v>162600</v>
      </c>
      <c r="H56" s="175">
        <f>G56*F56</f>
        <v>0</v>
      </c>
    </row>
    <row r="57" spans="2:8">
      <c r="B57" s="127" t="s">
        <v>91</v>
      </c>
      <c r="C57" s="203"/>
      <c r="D57" s="177">
        <f>C57/7</f>
        <v>0</v>
      </c>
      <c r="E57" s="203"/>
      <c r="F57" s="177">
        <f>D57*E57</f>
        <v>0</v>
      </c>
      <c r="G57" s="175">
        <f>VLOOKUP(Table1.3_Safety3[[#This Row],[Crash Severity]],TableA1_KABCO[],2,FALSE)</f>
        <v>307800</v>
      </c>
      <c r="H57" s="175">
        <f>G57*F57</f>
        <v>0</v>
      </c>
    </row>
    <row r="58" spans="2:8">
      <c r="B58" s="127" t="s">
        <v>92</v>
      </c>
      <c r="C58" s="203"/>
      <c r="D58" s="177">
        <f>C58/7</f>
        <v>0</v>
      </c>
      <c r="E58" s="203"/>
      <c r="F58" s="177">
        <f>D58*E58</f>
        <v>0</v>
      </c>
      <c r="G58" s="175">
        <f>VLOOKUP(Table1.3_Safety3[[#This Row],[Crash Severity]],TableA1_KABCO[],2,FALSE)</f>
        <v>13046800</v>
      </c>
      <c r="H58" s="175">
        <f>G58*F58</f>
        <v>0</v>
      </c>
    </row>
    <row r="59" spans="2:8">
      <c r="B59" s="89" t="s">
        <v>28</v>
      </c>
      <c r="C59" s="59">
        <f>SUBTOTAL(109,Table1.3_Safety3[Total Crashes])</f>
        <v>0</v>
      </c>
      <c r="D59" s="59">
        <f>SUBTOTAL(109,Table1.3_Safety3[Number of Crashes per Year])</f>
        <v>0</v>
      </c>
      <c r="E59" s="59" t="e">
        <f>SUBTOTAL(101,Table1.3_Safety3[Crash Reduction Factor])</f>
        <v>#DIV/0!</v>
      </c>
      <c r="F59" s="59">
        <f>SUBTOTAL(109,Table1.3_Safety3[Predicted Annual Crash Reduction])</f>
        <v>0</v>
      </c>
      <c r="G59" s="59"/>
      <c r="H59" s="222">
        <f>SUBTOTAL(109,Table1.3_Safety3[Annual Savings])</f>
        <v>0</v>
      </c>
    </row>
    <row r="60" spans="2:8">
      <c r="B60" s="89"/>
      <c r="C60" s="59"/>
      <c r="D60" s="59"/>
      <c r="E60" s="59"/>
      <c r="F60" s="59"/>
      <c r="G60" s="59"/>
      <c r="H60" s="58"/>
    </row>
    <row r="61" spans="2:8">
      <c r="B61" s="89"/>
      <c r="C61" s="59"/>
      <c r="D61" s="59"/>
      <c r="E61" s="59"/>
      <c r="F61" s="59"/>
      <c r="G61" s="59"/>
      <c r="H61" s="58"/>
    </row>
    <row r="63" spans="2:8">
      <c r="B63" s="121" t="s">
        <v>95</v>
      </c>
    </row>
    <row r="64" spans="2:8">
      <c r="B64" s="91"/>
    </row>
    <row r="65" spans="2:9" ht="25.5">
      <c r="B65" s="122" t="s">
        <v>77</v>
      </c>
      <c r="C65" s="122" t="s">
        <v>78</v>
      </c>
      <c r="D65" s="122" t="s">
        <v>79</v>
      </c>
      <c r="E65" s="122" t="s">
        <v>80</v>
      </c>
      <c r="F65" s="122" t="s">
        <v>81</v>
      </c>
      <c r="G65" s="122" t="s">
        <v>82</v>
      </c>
      <c r="H65" s="122" t="s">
        <v>83</v>
      </c>
      <c r="I65" s="122" t="s">
        <v>96</v>
      </c>
    </row>
    <row r="66" spans="2:9">
      <c r="B66" s="122" t="s">
        <v>97</v>
      </c>
      <c r="C66" s="123">
        <f>SUM(Table1.3_Safety3[[#Totals],[Total Crashes]],Table1.2_Safety2[[#Totals],[Total Crashes]],Table1.1_Safety1[[#Totals],[Total Crashes]])</f>
        <v>253</v>
      </c>
      <c r="D66" s="123">
        <f>SUM(Table1.3_Safety3[[#Totals],[Number of Crashes per Year]],Table1.2_Safety2[[#Totals],[Number of Crashes per Year]],Table1.1_Safety1[[#Totals],[Number of Crashes per Year]])</f>
        <v>253</v>
      </c>
      <c r="E66" s="123" t="e">
        <f>SUM(Table1.3_Safety3[[#Totals],[Crash Reduction Factor]],Table1.2_Safety2[[#Totals],[Crash Reduction Factor]],Table1.1_Safety1[[#Totals],[Crash Reduction Factor]])</f>
        <v>#DIV/0!</v>
      </c>
      <c r="F66" s="123">
        <f>SUM(Table1.3_Safety3[[#Totals],[Predicted Annual Crash Reduction]],Table1.2_Safety2[[#Totals],[Predicted Annual Crash Reduction]],Table1.1_Safety1[[#Totals],[Predicted Annual Crash Reduction]])</f>
        <v>-17.596</v>
      </c>
      <c r="G66" s="123">
        <f>SUM(Table1.3_Safety3[[#Totals],[Value of Injuries]],Table1.2_Safety2[[#Totals],[Value of Injuries]],Table1.1_Safety1[[#Totals],[Value of Injuries]])</f>
        <v>0</v>
      </c>
      <c r="H66" s="124">
        <f>SUM(Table1.3_Safety3[[#Totals],[Annual Savings]],Table1.2_Safety2[[#Totals],[Annual Savings]],Table1.1_Safety1[[#Totals],[Annual Savings]])</f>
        <v>596682</v>
      </c>
      <c r="I66" s="123">
        <f>Table1B1_SafetyBackup[[#Totals],[Realized Safety Benefit ($/Year)]]</f>
        <v>18497142</v>
      </c>
    </row>
    <row r="68" spans="2:9">
      <c r="I68" s="126" cm="1">
        <f t="array" ref="I68">Table1.5_SafetySummary[Annual Savings]*30</f>
        <v>17900460</v>
      </c>
    </row>
  </sheetData>
  <mergeCells count="9">
    <mergeCell ref="J10:N10"/>
    <mergeCell ref="A1:I1"/>
    <mergeCell ref="C31:H31"/>
    <mergeCell ref="C47:H47"/>
    <mergeCell ref="C14:H14"/>
    <mergeCell ref="C15:H15"/>
    <mergeCell ref="C30:H30"/>
    <mergeCell ref="C46:H46"/>
    <mergeCell ref="A7:I11"/>
  </mergeCells>
  <pageMargins left="0.7" right="0.7" top="0.75" bottom="0.75" header="0.3" footer="0.3"/>
  <pageSetup paperSize="3" scale="64" fitToHeight="0" orientation="landscape" r:id="rId1"/>
  <rowBreaks count="1" manualBreakCount="1">
    <brk id="44" max="16383" man="1"/>
  </rowBreaks>
  <drawing r:id="rId2"/>
  <tableParts count="4">
    <tablePart r:id="rId3"/>
    <tablePart r:id="rId4"/>
    <tablePart r:id="rId5"/>
    <tablePart r:id="rId6"/>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8106D-2D67-4C2A-9880-815C82E3B7C0}">
  <sheetPr>
    <tabColor theme="0" tint="-0.249977111117893"/>
    <pageSetUpPr fitToPage="1"/>
  </sheetPr>
  <dimension ref="A1:I53"/>
  <sheetViews>
    <sheetView showGridLines="0" zoomScaleNormal="100" workbookViewId="0">
      <selection activeCell="B8" sqref="B8:I8"/>
    </sheetView>
  </sheetViews>
  <sheetFormatPr defaultColWidth="9.140625" defaultRowHeight="12.75"/>
  <cols>
    <col min="1" max="1" width="21.7109375" style="61" customWidth="1"/>
    <col min="2" max="2" width="35.7109375" style="61" bestFit="1" customWidth="1"/>
    <col min="3" max="3" width="18.42578125" style="61" bestFit="1" customWidth="1"/>
    <col min="4" max="4" width="25" style="61" customWidth="1"/>
    <col min="5" max="5" width="21.7109375" style="61" customWidth="1"/>
    <col min="6" max="6" width="22.140625" style="61" customWidth="1"/>
    <col min="7" max="7" width="22.7109375" style="61" customWidth="1"/>
    <col min="8" max="9" width="10.7109375" style="61" customWidth="1"/>
    <col min="10" max="16384" width="9.140625" style="61"/>
  </cols>
  <sheetData>
    <row r="1" spans="1:9" ht="15" customHeight="1">
      <c r="A1" s="492" t="s">
        <v>98</v>
      </c>
      <c r="B1" s="493"/>
      <c r="C1" s="493"/>
      <c r="D1" s="493"/>
      <c r="E1" s="493"/>
      <c r="F1" s="493"/>
      <c r="G1" s="493"/>
      <c r="H1" s="493"/>
      <c r="I1" s="493"/>
    </row>
    <row r="2" spans="1:9" ht="15" customHeight="1">
      <c r="A2" s="99" t="s">
        <v>1</v>
      </c>
      <c r="B2" s="71" t="str">
        <f>Project_Name</f>
        <v>Completing the I-95 Missing Move and Quonset Connector Ramps</v>
      </c>
      <c r="C2" s="81"/>
      <c r="D2" s="81"/>
      <c r="E2" s="81"/>
      <c r="F2" s="81"/>
      <c r="G2" s="81"/>
      <c r="H2" s="81"/>
      <c r="I2" s="81"/>
    </row>
    <row r="3" spans="1:9" ht="15" customHeight="1">
      <c r="A3" s="99" t="s">
        <v>2</v>
      </c>
      <c r="B3" s="71" t="s">
        <v>29</v>
      </c>
      <c r="C3" s="81"/>
      <c r="D3" s="81"/>
      <c r="E3" s="81"/>
      <c r="F3" s="81"/>
      <c r="G3" s="81"/>
      <c r="H3" s="81"/>
      <c r="I3" s="81"/>
    </row>
    <row r="4" spans="1:9" ht="15" customHeight="1">
      <c r="A4" s="99" t="s">
        <v>4</v>
      </c>
      <c r="B4" s="100">
        <f>Date</f>
        <v>45159</v>
      </c>
      <c r="C4" s="81"/>
      <c r="D4" s="81"/>
      <c r="E4" s="81"/>
      <c r="F4" s="81"/>
      <c r="G4" s="81"/>
      <c r="H4" s="81"/>
      <c r="I4" s="81"/>
    </row>
    <row r="5" spans="1:9" ht="30" customHeight="1">
      <c r="A5" s="99"/>
      <c r="B5" s="101"/>
      <c r="C5" s="81"/>
      <c r="D5" s="81"/>
      <c r="E5" s="81"/>
      <c r="F5" s="81"/>
      <c r="G5" s="81"/>
      <c r="H5" s="81"/>
      <c r="I5" s="81"/>
    </row>
    <row r="6" spans="1:9" ht="13.5" thickBot="1">
      <c r="A6" s="99"/>
      <c r="B6" s="101"/>
      <c r="C6" s="81"/>
      <c r="D6" s="81"/>
      <c r="E6" s="81"/>
      <c r="F6" s="81"/>
      <c r="G6" s="81"/>
      <c r="H6" s="81"/>
      <c r="I6" s="81"/>
    </row>
    <row r="7" spans="1:9" ht="59.25" customHeight="1" thickBot="1">
      <c r="A7" s="102" t="s">
        <v>99</v>
      </c>
      <c r="B7" s="489" t="s">
        <v>100</v>
      </c>
      <c r="C7" s="490"/>
      <c r="D7" s="490"/>
      <c r="E7" s="490"/>
      <c r="F7" s="490"/>
      <c r="G7" s="490"/>
      <c r="H7" s="490"/>
      <c r="I7" s="491"/>
    </row>
    <row r="8" spans="1:9" ht="59.25" customHeight="1" thickBot="1">
      <c r="A8" s="102" t="s">
        <v>101</v>
      </c>
      <c r="B8" s="489" t="s">
        <v>102</v>
      </c>
      <c r="C8" s="494"/>
      <c r="D8" s="494"/>
      <c r="E8" s="494"/>
      <c r="F8" s="494"/>
      <c r="G8" s="494"/>
      <c r="H8" s="494"/>
      <c r="I8" s="495"/>
    </row>
    <row r="9" spans="1:9" ht="59.25" customHeight="1" thickBot="1">
      <c r="A9" s="102" t="s">
        <v>103</v>
      </c>
      <c r="B9" s="489" t="s">
        <v>104</v>
      </c>
      <c r="C9" s="490"/>
      <c r="D9" s="490"/>
      <c r="E9" s="490"/>
      <c r="F9" s="490"/>
      <c r="G9" s="490"/>
      <c r="H9" s="490"/>
      <c r="I9" s="491"/>
    </row>
    <row r="10" spans="1:9" ht="59.25" customHeight="1" thickBot="1">
      <c r="A10" s="102" t="s">
        <v>105</v>
      </c>
      <c r="B10" s="489" t="s">
        <v>106</v>
      </c>
      <c r="C10" s="490"/>
      <c r="D10" s="490"/>
      <c r="E10" s="490"/>
      <c r="F10" s="490"/>
      <c r="G10" s="490"/>
      <c r="H10" s="490"/>
      <c r="I10" s="491"/>
    </row>
    <row r="11" spans="1:9" ht="59.25" customHeight="1" thickBot="1">
      <c r="A11" s="102" t="s">
        <v>107</v>
      </c>
      <c r="B11" s="489" t="s">
        <v>108</v>
      </c>
      <c r="C11" s="490"/>
      <c r="D11" s="490"/>
      <c r="E11" s="490"/>
      <c r="F11" s="490"/>
      <c r="G11" s="490"/>
      <c r="H11" s="490"/>
      <c r="I11" s="491"/>
    </row>
    <row r="12" spans="1:9" ht="12.75" customHeight="1"/>
    <row r="13" spans="1:9">
      <c r="B13" s="63" t="s">
        <v>109</v>
      </c>
    </row>
    <row r="15" spans="1:9" s="122" customFormat="1" ht="51">
      <c r="B15" s="89" t="s">
        <v>21</v>
      </c>
      <c r="C15" s="89" t="s">
        <v>110</v>
      </c>
      <c r="D15" s="89" t="s">
        <v>111</v>
      </c>
      <c r="E15" s="89" t="s">
        <v>112</v>
      </c>
      <c r="F15" s="89" t="s">
        <v>113</v>
      </c>
      <c r="G15" s="89" t="s">
        <v>114</v>
      </c>
    </row>
    <row r="16" spans="1:9">
      <c r="B16" s="77">
        <f>First_Year+'Appendix B. Project Information'!B20</f>
        <v>2023</v>
      </c>
      <c r="C16" s="213">
        <f>'MM_3D. TTS Backup All Years'!C51</f>
        <v>217868.66666666666</v>
      </c>
      <c r="D16" s="210">
        <f>SUM(Table1.1_Safety1[[#Totals],[Number of Crashes per Year]],Table1.2_Safety2[[#Totals],[Number of Crashes per Year]],Table1.3_Safety3[[#Totals],[Number of Crashes per Year]])</f>
        <v>253</v>
      </c>
      <c r="E16" s="211">
        <f>Table1B1_SafetyBackup[[#This Row],[Estimated Total Crashes, No Build Scenario (Crashes/Yr)]]-Table1B1_SafetyBackup[[#This Row],[Predicted Crash Reduction, Preferred Action Scenario (Crashes/Yr)]]</f>
        <v>270.596</v>
      </c>
      <c r="F16" s="210">
        <f>SUM('MM_1. Safety Benefits'!F27,'MM_1. Safety Benefits'!F43,'MM_1. Safety Benefits'!F59)</f>
        <v>-17.596</v>
      </c>
      <c r="G16" s="208" cm="1">
        <f t="array" ref="G16">IF(Table1B1_SafetyBackup[[#This Row],[Year]]&lt;=Closeout,0,IF(Table1B1_SafetyBackup[[#This Row],[Year]]&lt;=Last_Year,Table1.5_SafetySummary[Annual Savings],0))</f>
        <v>0</v>
      </c>
    </row>
    <row r="17" spans="2:8">
      <c r="B17" s="77">
        <f>First_Year+'Appendix B. Project Information'!B21</f>
        <v>2024</v>
      </c>
      <c r="C17" s="209">
        <f>'MM_3D. TTS Backup All Years'!C52</f>
        <v>218843</v>
      </c>
      <c r="D17" s="211">
        <f>SUM(Table1.1_Safety1[[#Totals],[Number of Crashes per Year]],Table1.2_Safety2[[#Totals],[Number of Crashes per Year]],Table1.3_Safety3[[#Totals],[Number of Crashes per Year]])</f>
        <v>253</v>
      </c>
      <c r="E17" s="211">
        <f>Table1B1_SafetyBackup[[#This Row],[Estimated Total Crashes, No Build Scenario (Crashes/Yr)]]-Table1B1_SafetyBackup[[#This Row],[Predicted Crash Reduction, Preferred Action Scenario (Crashes/Yr)]]</f>
        <v>270.596</v>
      </c>
      <c r="F17" s="211">
        <f t="shared" ref="F17:F51" si="0">($F$16/$D$16)*D17</f>
        <v>-17.596</v>
      </c>
      <c r="G17" s="208">
        <f>IF(Table1B1_SafetyBackup[[#This Row],[Year]]&lt;=Closeout,0,IF(Table1B1_SafetyBackup[[#This Row],[Year]]&lt;=Last_Year,Table1B1_SafetyBackup[[#This Row],[Predicted Crash Reduction, Preferred Action Scenario (Crashes/Yr)]],0))</f>
        <v>0</v>
      </c>
    </row>
    <row r="18" spans="2:8">
      <c r="B18" s="77">
        <f>First_Year+'Appendix B. Project Information'!B22</f>
        <v>2025</v>
      </c>
      <c r="C18" s="209">
        <f>'MM_3D. TTS Backup All Years'!C53</f>
        <v>219817.33333333334</v>
      </c>
      <c r="D18" s="211">
        <f>SUM(Table1.1_Safety1[[#Totals],[Number of Crashes per Year]],Table1.2_Safety2[[#Totals],[Number of Crashes per Year]],Table1.3_Safety3[[#Totals],[Number of Crashes per Year]])</f>
        <v>253</v>
      </c>
      <c r="E18" s="211">
        <f>Table1B1_SafetyBackup[[#This Row],[Estimated Total Crashes, No Build Scenario (Crashes/Yr)]]-Table1B1_SafetyBackup[[#This Row],[Predicted Crash Reduction, Preferred Action Scenario (Crashes/Yr)]]</f>
        <v>270.596</v>
      </c>
      <c r="F18" s="211">
        <f t="shared" si="0"/>
        <v>-17.596</v>
      </c>
      <c r="G18" s="208">
        <f>IF(Table1B1_SafetyBackup[[#This Row],[Year]]&lt;=Closeout,0,IF(Table1B1_SafetyBackup[[#This Row],[Year]]&lt;=Last_Year,Table1B1_SafetyBackup[[#This Row],[Predicted Crash Reduction, Preferred Action Scenario (Crashes/Yr)]],0))</f>
        <v>0</v>
      </c>
    </row>
    <row r="19" spans="2:8">
      <c r="B19" s="77">
        <f>First_Year+'Appendix B. Project Information'!B23</f>
        <v>2026</v>
      </c>
      <c r="C19" s="209">
        <f>'MM_3D. TTS Backup All Years'!C54</f>
        <v>220791.66666666666</v>
      </c>
      <c r="D19" s="211">
        <f>SUM(Table1.1_Safety1[[#Totals],[Number of Crashes per Year]],Table1.2_Safety2[[#Totals],[Number of Crashes per Year]],Table1.3_Safety3[[#Totals],[Number of Crashes per Year]])</f>
        <v>253</v>
      </c>
      <c r="E19" s="211">
        <f>Table1B1_SafetyBackup[[#This Row],[Estimated Total Crashes, No Build Scenario (Crashes/Yr)]]-Table1B1_SafetyBackup[[#This Row],[Predicted Crash Reduction, Preferred Action Scenario (Crashes/Yr)]]</f>
        <v>270.596</v>
      </c>
      <c r="F19" s="211">
        <f t="shared" si="0"/>
        <v>-17.596</v>
      </c>
      <c r="G19" s="208">
        <f>IF(Table1B1_SafetyBackup[[#This Row],[Year]]&lt;=Closeout,0,IF(Table1B1_SafetyBackup[[#This Row],[Year]]&lt;=Last_Year,Table1B1_SafetyBackup[[#This Row],[Predicted Crash Reduction, Preferred Action Scenario (Crashes/Yr)]],0))</f>
        <v>0</v>
      </c>
    </row>
    <row r="20" spans="2:8">
      <c r="B20" s="77">
        <f>First_Year+'Appendix B. Project Information'!B24</f>
        <v>2027</v>
      </c>
      <c r="C20" s="209">
        <f>'MM_3D. TTS Backup All Years'!C55</f>
        <v>221766</v>
      </c>
      <c r="D20" s="211">
        <f>SUM(Table1.1_Safety1[[#Totals],[Number of Crashes per Year]],Table1.2_Safety2[[#Totals],[Number of Crashes per Year]],Table1.3_Safety3[[#Totals],[Number of Crashes per Year]])</f>
        <v>253</v>
      </c>
      <c r="E20" s="211">
        <f>Table1B1_SafetyBackup[[#This Row],[Estimated Total Crashes, No Build Scenario (Crashes/Yr)]]-Table1B1_SafetyBackup[[#This Row],[Predicted Crash Reduction, Preferred Action Scenario (Crashes/Yr)]]</f>
        <v>270.596</v>
      </c>
      <c r="F20" s="211">
        <f t="shared" si="0"/>
        <v>-17.596</v>
      </c>
      <c r="G20" s="208">
        <f>IF(Table1B1_SafetyBackup[[#This Row],[Year]]&lt;=Closeout,0,IF(Table1B1_SafetyBackup[[#This Row],[Year]]&lt;=Last_Year,Table1B1_SafetyBackup[[#This Row],[Predicted Crash Reduction, Preferred Action Scenario (Crashes/Yr)]],0))</f>
        <v>0</v>
      </c>
    </row>
    <row r="21" spans="2:8">
      <c r="B21" s="98">
        <f>First_Year+'Appendix B. Project Information'!B25</f>
        <v>2028</v>
      </c>
      <c r="C21" s="214">
        <f>'MM_3D. TTS Backup All Years'!C56</f>
        <v>222740.33333333334</v>
      </c>
      <c r="D21" s="212">
        <f>SUM(Table1.1_Safety1[[#Totals],[Number of Crashes per Year]],Table1.2_Safety2[[#Totals],[Number of Crashes per Year]],Table1.3_Safety3[[#Totals],[Number of Crashes per Year]])</f>
        <v>253</v>
      </c>
      <c r="E21" s="212">
        <f>Table1B1_SafetyBackup[[#This Row],[Estimated Total Crashes, No Build Scenario (Crashes/Yr)]]-Table1B1_SafetyBackup[[#This Row],[Predicted Crash Reduction, Preferred Action Scenario (Crashes/Yr)]]</f>
        <v>270.596</v>
      </c>
      <c r="F21" s="212">
        <f t="shared" si="0"/>
        <v>-17.596</v>
      </c>
      <c r="G21" s="208" cm="1">
        <f t="array" ref="G21">Table1.5_SafetySummary[Annual Savings]</f>
        <v>596682</v>
      </c>
    </row>
    <row r="22" spans="2:8">
      <c r="B22" s="77">
        <f>First_Year+'Appendix B. Project Information'!B26</f>
        <v>2029</v>
      </c>
      <c r="C22" s="209">
        <f>'MM_3D. TTS Backup All Years'!C57</f>
        <v>223714.66666666666</v>
      </c>
      <c r="D22" s="211">
        <f>SUM(Table1.1_Safety1[[#Totals],[Number of Crashes per Year]],Table1.2_Safety2[[#Totals],[Number of Crashes per Year]],Table1.3_Safety3[[#Totals],[Number of Crashes per Year]])</f>
        <v>253</v>
      </c>
      <c r="E22" s="211">
        <f>Table1B1_SafetyBackup[[#This Row],[Estimated Total Crashes, No Build Scenario (Crashes/Yr)]]-Table1B1_SafetyBackup[[#This Row],[Predicted Crash Reduction, Preferred Action Scenario (Crashes/Yr)]]</f>
        <v>270.596</v>
      </c>
      <c r="F22" s="211">
        <f t="shared" si="0"/>
        <v>-17.596</v>
      </c>
      <c r="G22" s="208">
        <f>G21*(Table1B1_SafetyBackup[[#This Row],[Predicted Crash Reduction, Preferred Action Scenario (Crashes/Yr)]]/F21)</f>
        <v>596682</v>
      </c>
      <c r="H22" s="63"/>
    </row>
    <row r="23" spans="2:8">
      <c r="B23" s="77">
        <f>First_Year+'Appendix B. Project Information'!B27</f>
        <v>2030</v>
      </c>
      <c r="C23" s="209">
        <f>'MM_3D. TTS Backup All Years'!C58</f>
        <v>224689</v>
      </c>
      <c r="D23" s="211">
        <f>SUM(Table1.1_Safety1[[#Totals],[Number of Crashes per Year]],Table1.2_Safety2[[#Totals],[Number of Crashes per Year]],Table1.3_Safety3[[#Totals],[Number of Crashes per Year]])</f>
        <v>253</v>
      </c>
      <c r="E23" s="211">
        <f>Table1B1_SafetyBackup[[#This Row],[Estimated Total Crashes, No Build Scenario (Crashes/Yr)]]-Table1B1_SafetyBackup[[#This Row],[Predicted Crash Reduction, Preferred Action Scenario (Crashes/Yr)]]</f>
        <v>270.596</v>
      </c>
      <c r="F23" s="211">
        <f t="shared" si="0"/>
        <v>-17.596</v>
      </c>
      <c r="G23" s="208">
        <f>G22*(Table1B1_SafetyBackup[[#This Row],[Predicted Crash Reduction, Preferred Action Scenario (Crashes/Yr)]]/F22)</f>
        <v>596682</v>
      </c>
    </row>
    <row r="24" spans="2:8">
      <c r="B24" s="77">
        <f>First_Year+'Appendix B. Project Information'!B28</f>
        <v>2031</v>
      </c>
      <c r="C24" s="209">
        <f>'MM_3D. TTS Backup All Years'!C59</f>
        <v>225663.33333333334</v>
      </c>
      <c r="D24" s="211">
        <f>SUM(Table1.1_Safety1[[#Totals],[Number of Crashes per Year]],Table1.2_Safety2[[#Totals],[Number of Crashes per Year]],Table1.3_Safety3[[#Totals],[Number of Crashes per Year]])</f>
        <v>253</v>
      </c>
      <c r="E24" s="211">
        <f>Table1B1_SafetyBackup[[#This Row],[Estimated Total Crashes, No Build Scenario (Crashes/Yr)]]-Table1B1_SafetyBackup[[#This Row],[Predicted Crash Reduction, Preferred Action Scenario (Crashes/Yr)]]</f>
        <v>270.596</v>
      </c>
      <c r="F24" s="211">
        <f t="shared" si="0"/>
        <v>-17.596</v>
      </c>
      <c r="G24" s="208">
        <f>G23*(Table1B1_SafetyBackup[[#This Row],[Predicted Crash Reduction, Preferred Action Scenario (Crashes/Yr)]]/F23)</f>
        <v>596682</v>
      </c>
    </row>
    <row r="25" spans="2:8">
      <c r="B25" s="77">
        <f>First_Year+'Appendix B. Project Information'!B29</f>
        <v>2032</v>
      </c>
      <c r="C25" s="209">
        <f>'MM_3D. TTS Backup All Years'!C60</f>
        <v>226637.66666666666</v>
      </c>
      <c r="D25" s="211">
        <f>SUM(Table1.1_Safety1[[#Totals],[Number of Crashes per Year]],Table1.2_Safety2[[#Totals],[Number of Crashes per Year]],Table1.3_Safety3[[#Totals],[Number of Crashes per Year]])</f>
        <v>253</v>
      </c>
      <c r="E25" s="211">
        <f>Table1B1_SafetyBackup[[#This Row],[Estimated Total Crashes, No Build Scenario (Crashes/Yr)]]-Table1B1_SafetyBackup[[#This Row],[Predicted Crash Reduction, Preferred Action Scenario (Crashes/Yr)]]</f>
        <v>270.596</v>
      </c>
      <c r="F25" s="211">
        <f t="shared" si="0"/>
        <v>-17.596</v>
      </c>
      <c r="G25" s="208">
        <f>G24*(Table1B1_SafetyBackup[[#This Row],[Predicted Crash Reduction, Preferred Action Scenario (Crashes/Yr)]]/F24)</f>
        <v>596682</v>
      </c>
    </row>
    <row r="26" spans="2:8">
      <c r="B26" s="77">
        <f>First_Year+'Appendix B. Project Information'!B30</f>
        <v>2033</v>
      </c>
      <c r="C26" s="209">
        <f>'MM_3D. TTS Backup All Years'!C61</f>
        <v>227612</v>
      </c>
      <c r="D26" s="211">
        <f>SUM(Table1.1_Safety1[[#Totals],[Number of Crashes per Year]],Table1.2_Safety2[[#Totals],[Number of Crashes per Year]],Table1.3_Safety3[[#Totals],[Number of Crashes per Year]])</f>
        <v>253</v>
      </c>
      <c r="E26" s="211">
        <f>Table1B1_SafetyBackup[[#This Row],[Estimated Total Crashes, No Build Scenario (Crashes/Yr)]]-Table1B1_SafetyBackup[[#This Row],[Predicted Crash Reduction, Preferred Action Scenario (Crashes/Yr)]]</f>
        <v>270.596</v>
      </c>
      <c r="F26" s="211">
        <f t="shared" si="0"/>
        <v>-17.596</v>
      </c>
      <c r="G26" s="208">
        <f>G25*(Table1B1_SafetyBackup[[#This Row],[Predicted Crash Reduction, Preferred Action Scenario (Crashes/Yr)]]/F25)</f>
        <v>596682</v>
      </c>
    </row>
    <row r="27" spans="2:8">
      <c r="B27" s="77">
        <f>First_Year+'Appendix B. Project Information'!B31</f>
        <v>2034</v>
      </c>
      <c r="C27" s="209">
        <f>'MM_3D. TTS Backup All Years'!C62</f>
        <v>228586.33333333334</v>
      </c>
      <c r="D27" s="211">
        <f>SUM(Table1.1_Safety1[[#Totals],[Number of Crashes per Year]],Table1.2_Safety2[[#Totals],[Number of Crashes per Year]],Table1.3_Safety3[[#Totals],[Number of Crashes per Year]])</f>
        <v>253</v>
      </c>
      <c r="E27" s="211">
        <f>Table1B1_SafetyBackup[[#This Row],[Estimated Total Crashes, No Build Scenario (Crashes/Yr)]]-Table1B1_SafetyBackup[[#This Row],[Predicted Crash Reduction, Preferred Action Scenario (Crashes/Yr)]]</f>
        <v>270.596</v>
      </c>
      <c r="F27" s="211">
        <f t="shared" si="0"/>
        <v>-17.596</v>
      </c>
      <c r="G27" s="208">
        <f>G26*(Table1B1_SafetyBackup[[#This Row],[Predicted Crash Reduction, Preferred Action Scenario (Crashes/Yr)]]/F26)</f>
        <v>596682</v>
      </c>
    </row>
    <row r="28" spans="2:8">
      <c r="B28" s="77">
        <f>First_Year+'Appendix B. Project Information'!B32</f>
        <v>2035</v>
      </c>
      <c r="C28" s="209">
        <f>'MM_3D. TTS Backup All Years'!C63</f>
        <v>229560.66666666666</v>
      </c>
      <c r="D28" s="211">
        <f>SUM(Table1.1_Safety1[[#Totals],[Number of Crashes per Year]],Table1.2_Safety2[[#Totals],[Number of Crashes per Year]],Table1.3_Safety3[[#Totals],[Number of Crashes per Year]])</f>
        <v>253</v>
      </c>
      <c r="E28" s="211">
        <f>Table1B1_SafetyBackup[[#This Row],[Estimated Total Crashes, No Build Scenario (Crashes/Yr)]]-Table1B1_SafetyBackup[[#This Row],[Predicted Crash Reduction, Preferred Action Scenario (Crashes/Yr)]]</f>
        <v>270.596</v>
      </c>
      <c r="F28" s="211">
        <f t="shared" si="0"/>
        <v>-17.596</v>
      </c>
      <c r="G28" s="208">
        <f>G27*(Table1B1_SafetyBackup[[#This Row],[Predicted Crash Reduction, Preferred Action Scenario (Crashes/Yr)]]/F27)</f>
        <v>596682</v>
      </c>
    </row>
    <row r="29" spans="2:8">
      <c r="B29" s="77">
        <f>First_Year+'Appendix B. Project Information'!B33</f>
        <v>2036</v>
      </c>
      <c r="C29" s="209">
        <f>'MM_3D. TTS Backup All Years'!C64</f>
        <v>230535</v>
      </c>
      <c r="D29" s="211">
        <f>SUM(Table1.1_Safety1[[#Totals],[Number of Crashes per Year]],Table1.2_Safety2[[#Totals],[Number of Crashes per Year]],Table1.3_Safety3[[#Totals],[Number of Crashes per Year]])</f>
        <v>253</v>
      </c>
      <c r="E29" s="211">
        <f>Table1B1_SafetyBackup[[#This Row],[Estimated Total Crashes, No Build Scenario (Crashes/Yr)]]-Table1B1_SafetyBackup[[#This Row],[Predicted Crash Reduction, Preferred Action Scenario (Crashes/Yr)]]</f>
        <v>270.596</v>
      </c>
      <c r="F29" s="211">
        <f t="shared" si="0"/>
        <v>-17.596</v>
      </c>
      <c r="G29" s="208">
        <f>G28*(Table1B1_SafetyBackup[[#This Row],[Predicted Crash Reduction, Preferred Action Scenario (Crashes/Yr)]]/F28)</f>
        <v>596682</v>
      </c>
    </row>
    <row r="30" spans="2:8">
      <c r="B30" s="77">
        <f>First_Year+'Appendix B. Project Information'!B34</f>
        <v>2037</v>
      </c>
      <c r="C30" s="209">
        <f>'MM_3D. TTS Backup All Years'!C65</f>
        <v>231509.33333333334</v>
      </c>
      <c r="D30" s="211">
        <f>SUM(Table1.1_Safety1[[#Totals],[Number of Crashes per Year]],Table1.2_Safety2[[#Totals],[Number of Crashes per Year]],Table1.3_Safety3[[#Totals],[Number of Crashes per Year]])</f>
        <v>253</v>
      </c>
      <c r="E30" s="211">
        <f>Table1B1_SafetyBackup[[#This Row],[Estimated Total Crashes, No Build Scenario (Crashes/Yr)]]-Table1B1_SafetyBackup[[#This Row],[Predicted Crash Reduction, Preferred Action Scenario (Crashes/Yr)]]</f>
        <v>270.596</v>
      </c>
      <c r="F30" s="211">
        <f t="shared" si="0"/>
        <v>-17.596</v>
      </c>
      <c r="G30" s="208">
        <f>G29*(Table1B1_SafetyBackup[[#This Row],[Predicted Crash Reduction, Preferred Action Scenario (Crashes/Yr)]]/F29)</f>
        <v>596682</v>
      </c>
    </row>
    <row r="31" spans="2:8">
      <c r="B31" s="77">
        <f>First_Year+'Appendix B. Project Information'!B35</f>
        <v>2038</v>
      </c>
      <c r="C31" s="209">
        <f>'MM_3D. TTS Backup All Years'!C66</f>
        <v>232483.66666666666</v>
      </c>
      <c r="D31" s="211">
        <f>SUM(Table1.1_Safety1[[#Totals],[Number of Crashes per Year]],Table1.2_Safety2[[#Totals],[Number of Crashes per Year]],Table1.3_Safety3[[#Totals],[Number of Crashes per Year]])</f>
        <v>253</v>
      </c>
      <c r="E31" s="211">
        <f>Table1B1_SafetyBackup[[#This Row],[Estimated Total Crashes, No Build Scenario (Crashes/Yr)]]-Table1B1_SafetyBackup[[#This Row],[Predicted Crash Reduction, Preferred Action Scenario (Crashes/Yr)]]</f>
        <v>270.596</v>
      </c>
      <c r="F31" s="211">
        <f t="shared" si="0"/>
        <v>-17.596</v>
      </c>
      <c r="G31" s="208">
        <f>G30*(Table1B1_SafetyBackup[[#This Row],[Predicted Crash Reduction, Preferred Action Scenario (Crashes/Yr)]]/F30)</f>
        <v>596682</v>
      </c>
    </row>
    <row r="32" spans="2:8">
      <c r="B32" s="77">
        <f>First_Year+'Appendix B. Project Information'!B36</f>
        <v>2039</v>
      </c>
      <c r="C32" s="209">
        <f>'MM_3D. TTS Backup All Years'!C67</f>
        <v>233458</v>
      </c>
      <c r="D32" s="211">
        <f>SUM(Table1.1_Safety1[[#Totals],[Number of Crashes per Year]],Table1.2_Safety2[[#Totals],[Number of Crashes per Year]],Table1.3_Safety3[[#Totals],[Number of Crashes per Year]])</f>
        <v>253</v>
      </c>
      <c r="E32" s="211">
        <f>Table1B1_SafetyBackup[[#This Row],[Estimated Total Crashes, No Build Scenario (Crashes/Yr)]]-Table1B1_SafetyBackup[[#This Row],[Predicted Crash Reduction, Preferred Action Scenario (Crashes/Yr)]]</f>
        <v>270.596</v>
      </c>
      <c r="F32" s="211">
        <f t="shared" si="0"/>
        <v>-17.596</v>
      </c>
      <c r="G32" s="208">
        <f>G31*(Table1B1_SafetyBackup[[#This Row],[Predicted Crash Reduction, Preferred Action Scenario (Crashes/Yr)]]/F31)</f>
        <v>596682</v>
      </c>
    </row>
    <row r="33" spans="2:7">
      <c r="B33" s="77">
        <f>First_Year+'Appendix B. Project Information'!B37</f>
        <v>2040</v>
      </c>
      <c r="C33" s="209">
        <f>'MM_3D. TTS Backup All Years'!C68</f>
        <v>234432.33333333334</v>
      </c>
      <c r="D33" s="211">
        <f>SUM(Table1.1_Safety1[[#Totals],[Number of Crashes per Year]],Table1.2_Safety2[[#Totals],[Number of Crashes per Year]],Table1.3_Safety3[[#Totals],[Number of Crashes per Year]])</f>
        <v>253</v>
      </c>
      <c r="E33" s="211">
        <f>Table1B1_SafetyBackup[[#This Row],[Estimated Total Crashes, No Build Scenario (Crashes/Yr)]]-Table1B1_SafetyBackup[[#This Row],[Predicted Crash Reduction, Preferred Action Scenario (Crashes/Yr)]]</f>
        <v>270.596</v>
      </c>
      <c r="F33" s="211">
        <f t="shared" si="0"/>
        <v>-17.596</v>
      </c>
      <c r="G33" s="208">
        <f>G32*(Table1B1_SafetyBackup[[#This Row],[Predicted Crash Reduction, Preferred Action Scenario (Crashes/Yr)]]/F32)</f>
        <v>596682</v>
      </c>
    </row>
    <row r="34" spans="2:7">
      <c r="B34" s="77">
        <f>First_Year+'Appendix B. Project Information'!B38</f>
        <v>2041</v>
      </c>
      <c r="C34" s="209">
        <f>'MM_3D. TTS Backup All Years'!C69</f>
        <v>235406.66666666666</v>
      </c>
      <c r="D34" s="211">
        <f>SUM(Table1.1_Safety1[[#Totals],[Number of Crashes per Year]],Table1.2_Safety2[[#Totals],[Number of Crashes per Year]],Table1.3_Safety3[[#Totals],[Number of Crashes per Year]])</f>
        <v>253</v>
      </c>
      <c r="E34" s="211">
        <f>Table1B1_SafetyBackup[[#This Row],[Estimated Total Crashes, No Build Scenario (Crashes/Yr)]]-Table1B1_SafetyBackup[[#This Row],[Predicted Crash Reduction, Preferred Action Scenario (Crashes/Yr)]]</f>
        <v>270.596</v>
      </c>
      <c r="F34" s="211">
        <f t="shared" si="0"/>
        <v>-17.596</v>
      </c>
      <c r="G34" s="208">
        <f>G33*(Table1B1_SafetyBackup[[#This Row],[Predicted Crash Reduction, Preferred Action Scenario (Crashes/Yr)]]/F33)</f>
        <v>596682</v>
      </c>
    </row>
    <row r="35" spans="2:7">
      <c r="B35" s="77">
        <f>First_Year+'Appendix B. Project Information'!B39</f>
        <v>2042</v>
      </c>
      <c r="C35" s="209">
        <f>'MM_3D. TTS Backup All Years'!C70</f>
        <v>236381</v>
      </c>
      <c r="D35" s="211">
        <f>SUM(Table1.1_Safety1[[#Totals],[Number of Crashes per Year]],Table1.2_Safety2[[#Totals],[Number of Crashes per Year]],Table1.3_Safety3[[#Totals],[Number of Crashes per Year]])</f>
        <v>253</v>
      </c>
      <c r="E35" s="211">
        <f>Table1B1_SafetyBackup[[#This Row],[Estimated Total Crashes, No Build Scenario (Crashes/Yr)]]-Table1B1_SafetyBackup[[#This Row],[Predicted Crash Reduction, Preferred Action Scenario (Crashes/Yr)]]</f>
        <v>270.596</v>
      </c>
      <c r="F35" s="211">
        <f t="shared" si="0"/>
        <v>-17.596</v>
      </c>
      <c r="G35" s="208">
        <f>G34*(Table1B1_SafetyBackup[[#This Row],[Predicted Crash Reduction, Preferred Action Scenario (Crashes/Yr)]]/F34)</f>
        <v>596682</v>
      </c>
    </row>
    <row r="36" spans="2:7">
      <c r="B36" s="77">
        <f>First_Year+'Appendix B. Project Information'!B40</f>
        <v>2043</v>
      </c>
      <c r="C36" s="209">
        <f>'MM_3D. TTS Backup All Years'!C71</f>
        <v>237355.33333333334</v>
      </c>
      <c r="D36" s="211">
        <f>SUM(Table1.1_Safety1[[#Totals],[Number of Crashes per Year]],Table1.2_Safety2[[#Totals],[Number of Crashes per Year]],Table1.3_Safety3[[#Totals],[Number of Crashes per Year]])</f>
        <v>253</v>
      </c>
      <c r="E36" s="211">
        <f>Table1B1_SafetyBackup[[#This Row],[Estimated Total Crashes, No Build Scenario (Crashes/Yr)]]-Table1B1_SafetyBackup[[#This Row],[Predicted Crash Reduction, Preferred Action Scenario (Crashes/Yr)]]</f>
        <v>270.596</v>
      </c>
      <c r="F36" s="211">
        <f t="shared" si="0"/>
        <v>-17.596</v>
      </c>
      <c r="G36" s="208">
        <f>G35*(Table1B1_SafetyBackup[[#This Row],[Predicted Crash Reduction, Preferred Action Scenario (Crashes/Yr)]]/F35)</f>
        <v>596682</v>
      </c>
    </row>
    <row r="37" spans="2:7">
      <c r="B37" s="77">
        <f>First_Year+'Appendix B. Project Information'!B41</f>
        <v>2044</v>
      </c>
      <c r="C37" s="209">
        <f>'MM_3D. TTS Backup All Years'!C72</f>
        <v>238329.66666666666</v>
      </c>
      <c r="D37" s="211">
        <f>SUM(Table1.1_Safety1[[#Totals],[Number of Crashes per Year]],Table1.2_Safety2[[#Totals],[Number of Crashes per Year]],Table1.3_Safety3[[#Totals],[Number of Crashes per Year]])</f>
        <v>253</v>
      </c>
      <c r="E37" s="211">
        <f>Table1B1_SafetyBackup[[#This Row],[Estimated Total Crashes, No Build Scenario (Crashes/Yr)]]-Table1B1_SafetyBackup[[#This Row],[Predicted Crash Reduction, Preferred Action Scenario (Crashes/Yr)]]</f>
        <v>270.596</v>
      </c>
      <c r="F37" s="211">
        <f t="shared" si="0"/>
        <v>-17.596</v>
      </c>
      <c r="G37" s="208">
        <f>G36*(Table1B1_SafetyBackup[[#This Row],[Predicted Crash Reduction, Preferred Action Scenario (Crashes/Yr)]]/F36)</f>
        <v>596682</v>
      </c>
    </row>
    <row r="38" spans="2:7">
      <c r="B38" s="77">
        <f>First_Year+'Appendix B. Project Information'!B42</f>
        <v>2045</v>
      </c>
      <c r="C38" s="209">
        <f>'MM_3D. TTS Backup All Years'!C73</f>
        <v>239304</v>
      </c>
      <c r="D38" s="211">
        <f>SUM(Table1.1_Safety1[[#Totals],[Number of Crashes per Year]],Table1.2_Safety2[[#Totals],[Number of Crashes per Year]],Table1.3_Safety3[[#Totals],[Number of Crashes per Year]])</f>
        <v>253</v>
      </c>
      <c r="E38" s="211">
        <f>Table1B1_SafetyBackup[[#This Row],[Estimated Total Crashes, No Build Scenario (Crashes/Yr)]]-Table1B1_SafetyBackup[[#This Row],[Predicted Crash Reduction, Preferred Action Scenario (Crashes/Yr)]]</f>
        <v>270.596</v>
      </c>
      <c r="F38" s="211">
        <f t="shared" si="0"/>
        <v>-17.596</v>
      </c>
      <c r="G38" s="208">
        <f>G37*(Table1B1_SafetyBackup[[#This Row],[Predicted Crash Reduction, Preferred Action Scenario (Crashes/Yr)]]/F37)</f>
        <v>596682</v>
      </c>
    </row>
    <row r="39" spans="2:7">
      <c r="B39" s="77">
        <f>First_Year+'Appendix B. Project Information'!B43</f>
        <v>2046</v>
      </c>
      <c r="C39" s="209">
        <f>'MM_3D. TTS Backup All Years'!C74</f>
        <v>240278.33333333334</v>
      </c>
      <c r="D39" s="211">
        <f>SUM(Table1.1_Safety1[[#Totals],[Number of Crashes per Year]],Table1.2_Safety2[[#Totals],[Number of Crashes per Year]],Table1.3_Safety3[[#Totals],[Number of Crashes per Year]])</f>
        <v>253</v>
      </c>
      <c r="E39" s="211">
        <f>Table1B1_SafetyBackup[[#This Row],[Estimated Total Crashes, No Build Scenario (Crashes/Yr)]]-Table1B1_SafetyBackup[[#This Row],[Predicted Crash Reduction, Preferred Action Scenario (Crashes/Yr)]]</f>
        <v>270.596</v>
      </c>
      <c r="F39" s="211">
        <f t="shared" si="0"/>
        <v>-17.596</v>
      </c>
      <c r="G39" s="208">
        <f>G38*(Table1B1_SafetyBackup[[#This Row],[Predicted Crash Reduction, Preferred Action Scenario (Crashes/Yr)]]/F38)</f>
        <v>596682</v>
      </c>
    </row>
    <row r="40" spans="2:7">
      <c r="B40" s="77">
        <f>First_Year+'Appendix B. Project Information'!B44</f>
        <v>2047</v>
      </c>
      <c r="C40" s="209">
        <f>'MM_3D. TTS Backup All Years'!C75</f>
        <v>241252.66666666666</v>
      </c>
      <c r="D40" s="211">
        <f>SUM(Table1.1_Safety1[[#Totals],[Number of Crashes per Year]],Table1.2_Safety2[[#Totals],[Number of Crashes per Year]],Table1.3_Safety3[[#Totals],[Number of Crashes per Year]])</f>
        <v>253</v>
      </c>
      <c r="E40" s="211">
        <f>Table1B1_SafetyBackup[[#This Row],[Estimated Total Crashes, No Build Scenario (Crashes/Yr)]]-Table1B1_SafetyBackup[[#This Row],[Predicted Crash Reduction, Preferred Action Scenario (Crashes/Yr)]]</f>
        <v>270.596</v>
      </c>
      <c r="F40" s="211">
        <f t="shared" si="0"/>
        <v>-17.596</v>
      </c>
      <c r="G40" s="208">
        <f>G39*(Table1B1_SafetyBackup[[#This Row],[Predicted Crash Reduction, Preferred Action Scenario (Crashes/Yr)]]/F39)</f>
        <v>596682</v>
      </c>
    </row>
    <row r="41" spans="2:7">
      <c r="B41" s="77">
        <f>First_Year+'Appendix B. Project Information'!B45</f>
        <v>2048</v>
      </c>
      <c r="C41" s="209">
        <f>'MM_3D. TTS Backup All Years'!C76</f>
        <v>242227</v>
      </c>
      <c r="D41" s="211">
        <f>SUM(Table1.1_Safety1[[#Totals],[Number of Crashes per Year]],Table1.2_Safety2[[#Totals],[Number of Crashes per Year]],Table1.3_Safety3[[#Totals],[Number of Crashes per Year]])</f>
        <v>253</v>
      </c>
      <c r="E41" s="211">
        <f>Table1B1_SafetyBackup[[#This Row],[Estimated Total Crashes, No Build Scenario (Crashes/Yr)]]-Table1B1_SafetyBackup[[#This Row],[Predicted Crash Reduction, Preferred Action Scenario (Crashes/Yr)]]</f>
        <v>270.596</v>
      </c>
      <c r="F41" s="211">
        <f t="shared" si="0"/>
        <v>-17.596</v>
      </c>
      <c r="G41" s="208">
        <f>G40*(Table1B1_SafetyBackup[[#This Row],[Predicted Crash Reduction, Preferred Action Scenario (Crashes/Yr)]]/F40)</f>
        <v>596682</v>
      </c>
    </row>
    <row r="42" spans="2:7">
      <c r="B42" s="77">
        <f>First_Year+'Appendix B. Project Information'!B46</f>
        <v>2049</v>
      </c>
      <c r="C42" s="209">
        <f>'MM_3D. TTS Backup All Years'!C77</f>
        <v>243201.33333333334</v>
      </c>
      <c r="D42" s="211">
        <f>SUM(Table1.1_Safety1[[#Totals],[Number of Crashes per Year]],Table1.2_Safety2[[#Totals],[Number of Crashes per Year]],Table1.3_Safety3[[#Totals],[Number of Crashes per Year]])</f>
        <v>253</v>
      </c>
      <c r="E42" s="211">
        <f>Table1B1_SafetyBackup[[#This Row],[Estimated Total Crashes, No Build Scenario (Crashes/Yr)]]-Table1B1_SafetyBackup[[#This Row],[Predicted Crash Reduction, Preferred Action Scenario (Crashes/Yr)]]</f>
        <v>270.596</v>
      </c>
      <c r="F42" s="211">
        <f t="shared" si="0"/>
        <v>-17.596</v>
      </c>
      <c r="G42" s="208">
        <f>G41*(Table1B1_SafetyBackup[[#This Row],[Predicted Crash Reduction, Preferred Action Scenario (Crashes/Yr)]]/F41)</f>
        <v>596682</v>
      </c>
    </row>
    <row r="43" spans="2:7">
      <c r="B43" s="77">
        <f>First_Year+'Appendix B. Project Information'!B47</f>
        <v>2050</v>
      </c>
      <c r="C43" s="209">
        <f>'MM_3D. TTS Backup All Years'!C78</f>
        <v>244175.66666666666</v>
      </c>
      <c r="D43" s="211">
        <f>SUM(Table1.1_Safety1[[#Totals],[Number of Crashes per Year]],Table1.2_Safety2[[#Totals],[Number of Crashes per Year]],Table1.3_Safety3[[#Totals],[Number of Crashes per Year]])</f>
        <v>253</v>
      </c>
      <c r="E43" s="211">
        <f>Table1B1_SafetyBackup[[#This Row],[Estimated Total Crashes, No Build Scenario (Crashes/Yr)]]-Table1B1_SafetyBackup[[#This Row],[Predicted Crash Reduction, Preferred Action Scenario (Crashes/Yr)]]</f>
        <v>270.596</v>
      </c>
      <c r="F43" s="211">
        <f t="shared" si="0"/>
        <v>-17.596</v>
      </c>
      <c r="G43" s="208">
        <f>G42*(Table1B1_SafetyBackup[[#This Row],[Predicted Crash Reduction, Preferred Action Scenario (Crashes/Yr)]]/F42)</f>
        <v>596682</v>
      </c>
    </row>
    <row r="44" spans="2:7">
      <c r="B44" s="77">
        <f>First_Year+'Appendix B. Project Information'!B48</f>
        <v>2051</v>
      </c>
      <c r="C44" s="209">
        <f>'MM_3D. TTS Backup All Years'!C79</f>
        <v>245150</v>
      </c>
      <c r="D44" s="211">
        <f>SUM(Table1.1_Safety1[[#Totals],[Number of Crashes per Year]],Table1.2_Safety2[[#Totals],[Number of Crashes per Year]],Table1.3_Safety3[[#Totals],[Number of Crashes per Year]])</f>
        <v>253</v>
      </c>
      <c r="E44" s="211">
        <f>Table1B1_SafetyBackup[[#This Row],[Estimated Total Crashes, No Build Scenario (Crashes/Yr)]]-Table1B1_SafetyBackup[[#This Row],[Predicted Crash Reduction, Preferred Action Scenario (Crashes/Yr)]]</f>
        <v>270.596</v>
      </c>
      <c r="F44" s="211">
        <f t="shared" si="0"/>
        <v>-17.596</v>
      </c>
      <c r="G44" s="208">
        <f>G43*(Table1B1_SafetyBackup[[#This Row],[Predicted Crash Reduction, Preferred Action Scenario (Crashes/Yr)]]/F43)</f>
        <v>596682</v>
      </c>
    </row>
    <row r="45" spans="2:7">
      <c r="B45" s="77">
        <f>First_Year+'Appendix B. Project Information'!B49</f>
        <v>2052</v>
      </c>
      <c r="C45" s="209">
        <f>'MM_3D. TTS Backup All Years'!C80</f>
        <v>246124.33333333334</v>
      </c>
      <c r="D45" s="211">
        <f>SUM(Table1.1_Safety1[[#Totals],[Number of Crashes per Year]],Table1.2_Safety2[[#Totals],[Number of Crashes per Year]],Table1.3_Safety3[[#Totals],[Number of Crashes per Year]])</f>
        <v>253</v>
      </c>
      <c r="E45" s="211">
        <f>Table1B1_SafetyBackup[[#This Row],[Estimated Total Crashes, No Build Scenario (Crashes/Yr)]]-Table1B1_SafetyBackup[[#This Row],[Predicted Crash Reduction, Preferred Action Scenario (Crashes/Yr)]]</f>
        <v>270.596</v>
      </c>
      <c r="F45" s="211">
        <f t="shared" si="0"/>
        <v>-17.596</v>
      </c>
      <c r="G45" s="208">
        <f>G44*(Table1B1_SafetyBackup[[#This Row],[Predicted Crash Reduction, Preferred Action Scenario (Crashes/Yr)]]/F44)</f>
        <v>596682</v>
      </c>
    </row>
    <row r="46" spans="2:7">
      <c r="B46" s="77">
        <f>First_Year+'Appendix B. Project Information'!B50</f>
        <v>2053</v>
      </c>
      <c r="C46" s="209">
        <f>'MM_3D. TTS Backup All Years'!C81</f>
        <v>247098.66666666666</v>
      </c>
      <c r="D46" s="211">
        <f>SUM(Table1.1_Safety1[[#Totals],[Number of Crashes per Year]],Table1.2_Safety2[[#Totals],[Number of Crashes per Year]],Table1.3_Safety3[[#Totals],[Number of Crashes per Year]])</f>
        <v>253</v>
      </c>
      <c r="E46" s="211">
        <f>Table1B1_SafetyBackup[[#This Row],[Estimated Total Crashes, No Build Scenario (Crashes/Yr)]]-Table1B1_SafetyBackup[[#This Row],[Predicted Crash Reduction, Preferred Action Scenario (Crashes/Yr)]]</f>
        <v>270.596</v>
      </c>
      <c r="F46" s="211">
        <f t="shared" si="0"/>
        <v>-17.596</v>
      </c>
      <c r="G46" s="208">
        <f>G45*(Table1B1_SafetyBackup[[#This Row],[Predicted Crash Reduction, Preferred Action Scenario (Crashes/Yr)]]/F45)</f>
        <v>596682</v>
      </c>
    </row>
    <row r="47" spans="2:7">
      <c r="B47" s="77">
        <f>First_Year+'Appendix B. Project Information'!B51</f>
        <v>2054</v>
      </c>
      <c r="C47" s="209">
        <f>'MM_3D. TTS Backup All Years'!C82</f>
        <v>248073</v>
      </c>
      <c r="D47" s="211">
        <f>SUM(Table1.1_Safety1[[#Totals],[Number of Crashes per Year]],Table1.2_Safety2[[#Totals],[Number of Crashes per Year]],Table1.3_Safety3[[#Totals],[Number of Crashes per Year]])</f>
        <v>253</v>
      </c>
      <c r="E47" s="211">
        <f>Table1B1_SafetyBackup[[#This Row],[Estimated Total Crashes, No Build Scenario (Crashes/Yr)]]-Table1B1_SafetyBackup[[#This Row],[Predicted Crash Reduction, Preferred Action Scenario (Crashes/Yr)]]</f>
        <v>270.596</v>
      </c>
      <c r="F47" s="211">
        <f t="shared" si="0"/>
        <v>-17.596</v>
      </c>
      <c r="G47" s="208">
        <f>G46*(Table1B1_SafetyBackup[[#This Row],[Predicted Crash Reduction, Preferred Action Scenario (Crashes/Yr)]]/F46)</f>
        <v>596682</v>
      </c>
    </row>
    <row r="48" spans="2:7">
      <c r="B48" s="77">
        <f>First_Year+'Appendix B. Project Information'!B52</f>
        <v>2055</v>
      </c>
      <c r="C48" s="209">
        <f>'MM_3D. TTS Backup All Years'!C83</f>
        <v>249047.33333333334</v>
      </c>
      <c r="D48" s="211">
        <f>SUM(Table1.1_Safety1[[#Totals],[Number of Crashes per Year]],Table1.2_Safety2[[#Totals],[Number of Crashes per Year]],Table1.3_Safety3[[#Totals],[Number of Crashes per Year]])</f>
        <v>253</v>
      </c>
      <c r="E48" s="211">
        <f>Table1B1_SafetyBackup[[#This Row],[Estimated Total Crashes, No Build Scenario (Crashes/Yr)]]-Table1B1_SafetyBackup[[#This Row],[Predicted Crash Reduction, Preferred Action Scenario (Crashes/Yr)]]</f>
        <v>270.596</v>
      </c>
      <c r="F48" s="211">
        <f t="shared" si="0"/>
        <v>-17.596</v>
      </c>
      <c r="G48" s="208">
        <f>G47*(Table1B1_SafetyBackup[[#This Row],[Predicted Crash Reduction, Preferred Action Scenario (Crashes/Yr)]]/F47)</f>
        <v>596682</v>
      </c>
    </row>
    <row r="49" spans="2:7">
      <c r="B49" s="77">
        <f>First_Year+'Appendix B. Project Information'!B53</f>
        <v>2056</v>
      </c>
      <c r="C49" s="209">
        <f>'MM_3D. TTS Backup All Years'!C84</f>
        <v>250021.66666666666</v>
      </c>
      <c r="D49" s="211">
        <f>SUM(Table1.1_Safety1[[#Totals],[Number of Crashes per Year]],Table1.2_Safety2[[#Totals],[Number of Crashes per Year]],Table1.3_Safety3[[#Totals],[Number of Crashes per Year]])</f>
        <v>253</v>
      </c>
      <c r="E49" s="211">
        <f>Table1B1_SafetyBackup[[#This Row],[Estimated Total Crashes, No Build Scenario (Crashes/Yr)]]-Table1B1_SafetyBackup[[#This Row],[Predicted Crash Reduction, Preferred Action Scenario (Crashes/Yr)]]</f>
        <v>270.596</v>
      </c>
      <c r="F49" s="211">
        <f t="shared" si="0"/>
        <v>-17.596</v>
      </c>
      <c r="G49" s="208">
        <f>G48*(Table1B1_SafetyBackup[[#This Row],[Predicted Crash Reduction, Preferred Action Scenario (Crashes/Yr)]]/F48)</f>
        <v>596682</v>
      </c>
    </row>
    <row r="50" spans="2:7">
      <c r="B50" s="77">
        <f>First_Year+'Appendix B. Project Information'!B54</f>
        <v>2057</v>
      </c>
      <c r="C50" s="209">
        <f>'MM_3D. TTS Backup All Years'!C85</f>
        <v>250996</v>
      </c>
      <c r="D50" s="211">
        <f>SUM(Table1.1_Safety1[[#Totals],[Number of Crashes per Year]],Table1.2_Safety2[[#Totals],[Number of Crashes per Year]],Table1.3_Safety3[[#Totals],[Number of Crashes per Year]])</f>
        <v>253</v>
      </c>
      <c r="E50" s="211">
        <f>Table1B1_SafetyBackup[[#This Row],[Estimated Total Crashes, No Build Scenario (Crashes/Yr)]]-Table1B1_SafetyBackup[[#This Row],[Predicted Crash Reduction, Preferred Action Scenario (Crashes/Yr)]]</f>
        <v>270.596</v>
      </c>
      <c r="F50" s="211">
        <f t="shared" si="0"/>
        <v>-17.596</v>
      </c>
      <c r="G50" s="208">
        <f>G49*(Table1B1_SafetyBackup[[#This Row],[Predicted Crash Reduction, Preferred Action Scenario (Crashes/Yr)]]/F49)</f>
        <v>596682</v>
      </c>
    </row>
    <row r="51" spans="2:7">
      <c r="B51" s="77">
        <f>First_Year+'Appendix B. Project Information'!B55</f>
        <v>2058</v>
      </c>
      <c r="C51" s="213">
        <f>'MM_3D. TTS Backup All Years'!C86</f>
        <v>251970.33333333334</v>
      </c>
      <c r="D51" s="211">
        <f>SUM(Table1.1_Safety1[[#Totals],[Number of Crashes per Year]],Table1.2_Safety2[[#Totals],[Number of Crashes per Year]],Table1.3_Safety3[[#Totals],[Number of Crashes per Year]])</f>
        <v>253</v>
      </c>
      <c r="E51" s="211">
        <f>Table1B1_SafetyBackup[[#This Row],[Estimated Total Crashes, No Build Scenario (Crashes/Yr)]]-Table1B1_SafetyBackup[[#This Row],[Predicted Crash Reduction, Preferred Action Scenario (Crashes/Yr)]]</f>
        <v>270.596</v>
      </c>
      <c r="F51" s="211">
        <f t="shared" si="0"/>
        <v>-17.596</v>
      </c>
      <c r="G51" s="208">
        <f>G50*(Table1B1_SafetyBackup[[#This Row],[Predicted Crash Reduction, Preferred Action Scenario (Crashes/Yr)]]/F50)</f>
        <v>596682</v>
      </c>
    </row>
    <row r="52" spans="2:7">
      <c r="B52" s="77"/>
      <c r="C52" s="206">
        <f>SUBTOTAL(109,Table1B1_SafetyBackup[Traffic Count])</f>
        <v>8457102</v>
      </c>
      <c r="D52" s="206">
        <f>SUBTOTAL(109,Table1B1_SafetyBackup[Estimated Total Crashes, No Build Scenario (Crashes/Yr)])</f>
        <v>9108</v>
      </c>
      <c r="E52" s="207">
        <f>SUBTOTAL(109,Table1B1_SafetyBackup[Estimated Total Crashes, Preferred Action Scenario])</f>
        <v>9741.455999999991</v>
      </c>
      <c r="F52" s="68">
        <f>SUBTOTAL(109,Table1B1_SafetyBackup[Predicted Crash Reduction, Preferred Action Scenario (Crashes/Yr)])</f>
        <v>-633.45600000000002</v>
      </c>
      <c r="G52" s="68">
        <f>SUBTOTAL(109,Table1B1_SafetyBackup[Realized Safety Benefit ($/Year)])</f>
        <v>18497142</v>
      </c>
    </row>
    <row r="53" spans="2:7">
      <c r="B53" s="77"/>
    </row>
  </sheetData>
  <mergeCells count="6">
    <mergeCell ref="B11:I11"/>
    <mergeCell ref="A1:I1"/>
    <mergeCell ref="B7:I7"/>
    <mergeCell ref="B8:I8"/>
    <mergeCell ref="B9:I9"/>
    <mergeCell ref="B10:I10"/>
  </mergeCells>
  <pageMargins left="0.7" right="0.7" top="0.75" bottom="0.75" header="0.3" footer="0.3"/>
  <pageSetup scale="58" orientation="landscape" r:id="rId1"/>
  <ignoredErrors>
    <ignoredError sqref="G23:G51" calculatedColumn="1"/>
  </ignoredErrors>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66516-C5F8-46E1-BFF5-B7E5128671EC}">
  <sheetPr>
    <tabColor theme="9"/>
    <pageSetUpPr fitToPage="1"/>
  </sheetPr>
  <dimension ref="A1:I68"/>
  <sheetViews>
    <sheetView showGridLines="0" zoomScaleNormal="100" workbookViewId="0">
      <selection activeCell="A12" sqref="A12"/>
    </sheetView>
  </sheetViews>
  <sheetFormatPr defaultColWidth="9.140625" defaultRowHeight="12.75"/>
  <cols>
    <col min="1" max="1" width="21.7109375" style="81" customWidth="1"/>
    <col min="2" max="2" width="26.5703125" style="81" customWidth="1"/>
    <col min="3" max="3" width="15.7109375" style="81" customWidth="1"/>
    <col min="4" max="6" width="25.7109375" style="81" customWidth="1"/>
    <col min="7" max="8" width="15.7109375" style="81" customWidth="1"/>
    <col min="9" max="9" width="21.7109375" style="81" customWidth="1"/>
    <col min="10" max="16384" width="9.140625" style="81"/>
  </cols>
  <sheetData>
    <row r="1" spans="1:9" ht="15" customHeight="1">
      <c r="A1" s="472" t="s">
        <v>71</v>
      </c>
      <c r="B1" s="472"/>
      <c r="C1" s="472"/>
      <c r="D1" s="472"/>
      <c r="E1" s="472"/>
      <c r="F1" s="472"/>
      <c r="G1" s="472"/>
      <c r="H1" s="472"/>
      <c r="I1" s="472"/>
    </row>
    <row r="2" spans="1:9" ht="15" customHeight="1">
      <c r="A2" s="99" t="s">
        <v>1</v>
      </c>
      <c r="B2" s="71" t="str">
        <f>Project_Name</f>
        <v>Completing the I-95 Missing Move and Quonset Connector Ramps</v>
      </c>
    </row>
    <row r="3" spans="1:9" ht="15" customHeight="1">
      <c r="A3" s="99" t="s">
        <v>2</v>
      </c>
      <c r="B3" s="71" t="s">
        <v>56</v>
      </c>
    </row>
    <row r="4" spans="1:9" ht="15" customHeight="1">
      <c r="A4" s="99" t="s">
        <v>4</v>
      </c>
      <c r="B4" s="100">
        <f>Date</f>
        <v>45159</v>
      </c>
    </row>
    <row r="5" spans="1:9" ht="30" customHeight="1">
      <c r="A5" s="99"/>
      <c r="B5" s="100"/>
    </row>
    <row r="6" spans="1:9" ht="13.5" thickBot="1">
      <c r="A6" s="99"/>
      <c r="B6" s="101"/>
    </row>
    <row r="7" spans="1:9" ht="39.75" customHeight="1">
      <c r="A7" s="496" t="s">
        <v>115</v>
      </c>
      <c r="B7" s="481"/>
      <c r="C7" s="481"/>
      <c r="D7" s="481"/>
      <c r="E7" s="481"/>
      <c r="F7" s="481"/>
      <c r="G7" s="481"/>
      <c r="H7" s="481"/>
      <c r="I7" s="482"/>
    </row>
    <row r="8" spans="1:9" ht="39.75" customHeight="1">
      <c r="A8" s="483"/>
      <c r="B8" s="484"/>
      <c r="C8" s="484"/>
      <c r="D8" s="484"/>
      <c r="E8" s="484"/>
      <c r="F8" s="484"/>
      <c r="G8" s="484"/>
      <c r="H8" s="484"/>
      <c r="I8" s="485"/>
    </row>
    <row r="9" spans="1:9" ht="39.75" customHeight="1">
      <c r="A9" s="483"/>
      <c r="B9" s="484"/>
      <c r="C9" s="484"/>
      <c r="D9" s="484"/>
      <c r="E9" s="484"/>
      <c r="F9" s="484"/>
      <c r="G9" s="484"/>
      <c r="H9" s="484"/>
      <c r="I9" s="485"/>
    </row>
    <row r="10" spans="1:9" ht="39.75" customHeight="1">
      <c r="A10" s="483"/>
      <c r="B10" s="484"/>
      <c r="C10" s="484"/>
      <c r="D10" s="484"/>
      <c r="E10" s="484"/>
      <c r="F10" s="484"/>
      <c r="G10" s="484"/>
      <c r="H10" s="484"/>
      <c r="I10" s="485"/>
    </row>
    <row r="11" spans="1:9" ht="39.75" customHeight="1" thickBot="1">
      <c r="A11" s="486"/>
      <c r="B11" s="487"/>
      <c r="C11" s="487"/>
      <c r="D11" s="487"/>
      <c r="E11" s="487"/>
      <c r="F11" s="487"/>
      <c r="G11" s="487"/>
      <c r="H11" s="487"/>
      <c r="I11" s="488"/>
    </row>
    <row r="12" spans="1:9">
      <c r="A12" s="103"/>
      <c r="B12" s="104"/>
      <c r="C12" s="104"/>
      <c r="D12" s="104"/>
      <c r="E12" s="104"/>
      <c r="F12" s="104"/>
      <c r="G12" s="104"/>
      <c r="H12" s="104"/>
    </row>
    <row r="13" spans="1:9">
      <c r="A13" s="103"/>
      <c r="B13" s="104"/>
      <c r="C13" s="104"/>
      <c r="D13" s="104"/>
      <c r="E13" s="104"/>
      <c r="F13" s="104"/>
      <c r="G13" s="104"/>
      <c r="H13" s="104"/>
    </row>
    <row r="14" spans="1:9" ht="15" customHeight="1">
      <c r="B14" s="91" t="s">
        <v>73</v>
      </c>
      <c r="C14" s="473" t="s">
        <v>116</v>
      </c>
      <c r="D14" s="474"/>
      <c r="E14" s="474"/>
      <c r="F14" s="474"/>
      <c r="G14" s="474"/>
      <c r="H14" s="475"/>
    </row>
    <row r="15" spans="1:9" ht="15" customHeight="1">
      <c r="B15" s="91" t="s">
        <v>75</v>
      </c>
      <c r="C15" s="473" t="s">
        <v>117</v>
      </c>
      <c r="D15" s="474"/>
      <c r="E15" s="474"/>
      <c r="F15" s="474"/>
      <c r="G15" s="474"/>
      <c r="H15" s="475"/>
    </row>
    <row r="16" spans="1:9">
      <c r="B16" s="90"/>
      <c r="C16" s="119"/>
      <c r="D16" s="119"/>
      <c r="E16" s="119"/>
      <c r="F16" s="119"/>
      <c r="G16" s="119"/>
      <c r="H16" s="119"/>
    </row>
    <row r="17" spans="2:8" ht="25.5">
      <c r="B17" s="122" t="s">
        <v>77</v>
      </c>
      <c r="C17" s="122" t="s">
        <v>78</v>
      </c>
      <c r="D17" s="122" t="s">
        <v>79</v>
      </c>
      <c r="E17" s="122" t="s">
        <v>80</v>
      </c>
      <c r="F17" s="122" t="s">
        <v>81</v>
      </c>
      <c r="G17" s="122" t="s">
        <v>82</v>
      </c>
      <c r="H17" s="122" t="s">
        <v>83</v>
      </c>
    </row>
    <row r="18" spans="2:8">
      <c r="B18" s="127" t="s">
        <v>84</v>
      </c>
      <c r="C18" s="203">
        <v>23.5</v>
      </c>
      <c r="D18" s="371">
        <f t="shared" ref="D18:D26" si="0">C18/1</f>
        <v>23.5</v>
      </c>
      <c r="E18" s="203">
        <v>0.11</v>
      </c>
      <c r="F18" s="371">
        <f t="shared" ref="F18:F26" si="1">D18*E18</f>
        <v>2.585</v>
      </c>
      <c r="G18" s="370">
        <f>VLOOKUP(Table1.1_Safety175[[#This Row],[Crash Severity]],TableA1_KABCO117[],2,FALSE)</f>
        <v>4000</v>
      </c>
      <c r="H18" s="370">
        <f t="shared" ref="H18:H26" si="2">G18*F18</f>
        <v>10340</v>
      </c>
    </row>
    <row r="19" spans="2:8">
      <c r="B19" s="127" t="s">
        <v>85</v>
      </c>
      <c r="C19" s="203">
        <v>4.7</v>
      </c>
      <c r="D19" s="371">
        <f t="shared" si="0"/>
        <v>4.7</v>
      </c>
      <c r="E19" s="203">
        <v>0.09</v>
      </c>
      <c r="F19" s="371">
        <f t="shared" si="1"/>
        <v>0.42299999999999999</v>
      </c>
      <c r="G19" s="370">
        <f>VLOOKUP(Table1.1_Safety175[[#This Row],[Crash Severity]],TableA1_KABCO117[],2,FALSE)</f>
        <v>78500</v>
      </c>
      <c r="H19" s="370">
        <f t="shared" si="2"/>
        <v>33205.5</v>
      </c>
    </row>
    <row r="20" spans="2:8">
      <c r="B20" s="127" t="s">
        <v>86</v>
      </c>
      <c r="C20" s="203">
        <v>1.4</v>
      </c>
      <c r="D20" s="371">
        <f t="shared" si="0"/>
        <v>1.4</v>
      </c>
      <c r="E20" s="203">
        <v>-0.09</v>
      </c>
      <c r="F20" s="371">
        <f t="shared" si="1"/>
        <v>-0.126</v>
      </c>
      <c r="G20" s="370">
        <f>VLOOKUP(Table1.1_Safety175[[#This Row],[Crash Severity]],TableA1_KABCO117[],2,FALSE)</f>
        <v>153700</v>
      </c>
      <c r="H20" s="370">
        <f t="shared" si="2"/>
        <v>-19366.2</v>
      </c>
    </row>
    <row r="21" spans="2:8">
      <c r="B21" s="127" t="s">
        <v>87</v>
      </c>
      <c r="C21" s="203">
        <v>0.3</v>
      </c>
      <c r="D21" s="371">
        <f t="shared" si="0"/>
        <v>0.3</v>
      </c>
      <c r="E21" s="203">
        <v>0.05</v>
      </c>
      <c r="F21" s="371">
        <f t="shared" si="1"/>
        <v>1.4999999999999999E-2</v>
      </c>
      <c r="G21" s="370">
        <f>VLOOKUP(Table1.1_Safety175[[#This Row],[Crash Severity]],TableA1_KABCO117[],2,FALSE)</f>
        <v>564300</v>
      </c>
      <c r="H21" s="370">
        <f t="shared" si="2"/>
        <v>8464.5</v>
      </c>
    </row>
    <row r="22" spans="2:8">
      <c r="B22" s="127" t="s">
        <v>88</v>
      </c>
      <c r="C22" s="203">
        <v>0.2</v>
      </c>
      <c r="D22" s="371">
        <f t="shared" si="0"/>
        <v>0.2</v>
      </c>
      <c r="E22" s="203">
        <v>0.04</v>
      </c>
      <c r="F22" s="371">
        <f t="shared" si="1"/>
        <v>8.0000000000000002E-3</v>
      </c>
      <c r="G22" s="370">
        <f>VLOOKUP(Table1.1_Safety175[[#This Row],[Crash Severity]],TableA1_KABCO117[],2,FALSE)</f>
        <v>11800000</v>
      </c>
      <c r="H22" s="370">
        <f t="shared" si="2"/>
        <v>94400</v>
      </c>
    </row>
    <row r="23" spans="2:8">
      <c r="B23" s="127" t="s">
        <v>89</v>
      </c>
      <c r="C23" s="203"/>
      <c r="D23" s="371">
        <f t="shared" si="0"/>
        <v>0</v>
      </c>
      <c r="E23" s="203"/>
      <c r="F23" s="371">
        <f t="shared" si="1"/>
        <v>0</v>
      </c>
      <c r="G23" s="370">
        <f>VLOOKUP(Table1.1_Safety175[[#This Row],[Crash Severity]],TableA1_KABCO117[],2,FALSE)</f>
        <v>213900</v>
      </c>
      <c r="H23" s="370">
        <f t="shared" si="2"/>
        <v>0</v>
      </c>
    </row>
    <row r="24" spans="2:8" ht="25.5">
      <c r="B24" s="127" t="s">
        <v>90</v>
      </c>
      <c r="C24" s="203"/>
      <c r="D24" s="371">
        <f t="shared" si="0"/>
        <v>0</v>
      </c>
      <c r="E24" s="203"/>
      <c r="F24" s="371">
        <f t="shared" si="1"/>
        <v>0</v>
      </c>
      <c r="G24" s="370">
        <f>VLOOKUP(Table1.1_Safety175[[#This Row],[Crash Severity]],TableA1_KABCO117[],2,FALSE)</f>
        <v>162600</v>
      </c>
      <c r="H24" s="370">
        <f t="shared" si="2"/>
        <v>0</v>
      </c>
    </row>
    <row r="25" spans="2:8">
      <c r="B25" s="127" t="s">
        <v>91</v>
      </c>
      <c r="C25" s="203"/>
      <c r="D25" s="371">
        <f t="shared" si="0"/>
        <v>0</v>
      </c>
      <c r="E25" s="203"/>
      <c r="F25" s="371">
        <f t="shared" si="1"/>
        <v>0</v>
      </c>
      <c r="G25" s="370">
        <f>VLOOKUP(Table1.1_Safety175[[#This Row],[Crash Severity]],TableA1_KABCO117[],2,FALSE)</f>
        <v>307800</v>
      </c>
      <c r="H25" s="370">
        <f t="shared" si="2"/>
        <v>0</v>
      </c>
    </row>
    <row r="26" spans="2:8">
      <c r="B26" s="127" t="s">
        <v>92</v>
      </c>
      <c r="C26" s="203"/>
      <c r="D26" s="371">
        <f t="shared" si="0"/>
        <v>0</v>
      </c>
      <c r="E26" s="203"/>
      <c r="F26" s="371">
        <f t="shared" si="1"/>
        <v>0</v>
      </c>
      <c r="G26" s="370">
        <f>VLOOKUP(Table1.1_Safety175[[#This Row],[Crash Severity]],TableA1_KABCO117[],2,FALSE)</f>
        <v>13046800</v>
      </c>
      <c r="H26" s="370">
        <f t="shared" si="2"/>
        <v>0</v>
      </c>
    </row>
    <row r="27" spans="2:8">
      <c r="B27" s="89" t="s">
        <v>28</v>
      </c>
      <c r="C27" s="59">
        <f>SUBTOTAL(109,Table1.1_Safety175[Total Crashes])</f>
        <v>30.099999999999998</v>
      </c>
      <c r="D27" s="59">
        <f>SUBTOTAL(109,Table1.1_Safety175[Number of Crashes per Year])</f>
        <v>30.099999999999998</v>
      </c>
      <c r="E27" s="59">
        <f>SUBTOTAL(101,Table1.1_Safety175[Crash Reduction Factor])</f>
        <v>4.0000000000000008E-2</v>
      </c>
      <c r="F27" s="59">
        <f>SUBTOTAL(109,Table1.1_Safety175[Predicted Annual Crash Reduction])</f>
        <v>2.9050000000000002</v>
      </c>
      <c r="G27" s="59"/>
      <c r="H27" s="222">
        <f>SUBTOTAL(109,Table1.1_Safety175[Annual Savings])</f>
        <v>127043.8</v>
      </c>
    </row>
    <row r="28" spans="2:8">
      <c r="G28" s="91"/>
      <c r="H28" s="105"/>
    </row>
    <row r="29" spans="2:8">
      <c r="G29" s="91"/>
      <c r="H29" s="105"/>
    </row>
    <row r="30" spans="2:8" ht="15" customHeight="1">
      <c r="B30" s="91" t="s">
        <v>93</v>
      </c>
      <c r="C30" s="476"/>
      <c r="D30" s="476"/>
      <c r="E30" s="476"/>
      <c r="F30" s="476"/>
      <c r="G30" s="476"/>
      <c r="H30" s="476"/>
    </row>
    <row r="31" spans="2:8" ht="15" customHeight="1">
      <c r="B31" s="91" t="s">
        <v>75</v>
      </c>
      <c r="C31" s="476"/>
      <c r="D31" s="476"/>
      <c r="E31" s="476"/>
      <c r="F31" s="476"/>
      <c r="G31" s="476"/>
      <c r="H31" s="476"/>
    </row>
    <row r="32" spans="2:8">
      <c r="B32" s="90"/>
      <c r="C32" s="119"/>
      <c r="D32" s="119"/>
      <c r="E32" s="119"/>
      <c r="F32" s="119"/>
      <c r="G32" s="119"/>
      <c r="H32" s="119"/>
    </row>
    <row r="33" spans="2:8" ht="25.5">
      <c r="B33" s="122" t="s">
        <v>77</v>
      </c>
      <c r="C33" s="122" t="s">
        <v>78</v>
      </c>
      <c r="D33" s="122" t="s">
        <v>79</v>
      </c>
      <c r="E33" s="122" t="s">
        <v>80</v>
      </c>
      <c r="F33" s="122" t="s">
        <v>81</v>
      </c>
      <c r="G33" s="122" t="s">
        <v>82</v>
      </c>
      <c r="H33" s="122" t="s">
        <v>83</v>
      </c>
    </row>
    <row r="34" spans="2:8">
      <c r="B34" s="127" t="s">
        <v>84</v>
      </c>
      <c r="C34" s="203"/>
      <c r="D34" s="371">
        <f t="shared" ref="D34:D42" si="3">C34/7</f>
        <v>0</v>
      </c>
      <c r="E34" s="203"/>
      <c r="F34" s="371">
        <f t="shared" ref="F34:F42" si="4">D34*E34</f>
        <v>0</v>
      </c>
      <c r="G34" s="370">
        <f>VLOOKUP(Table1.2_Safety279[[#This Row],[Crash Severity]],TableA1_KABCO117[],2,FALSE)</f>
        <v>4000</v>
      </c>
      <c r="H34" s="370">
        <f t="shared" ref="H34:H42" si="5">G34*F34</f>
        <v>0</v>
      </c>
    </row>
    <row r="35" spans="2:8">
      <c r="B35" s="127" t="s">
        <v>85</v>
      </c>
      <c r="C35" s="203"/>
      <c r="D35" s="371">
        <f t="shared" si="3"/>
        <v>0</v>
      </c>
      <c r="E35" s="203"/>
      <c r="F35" s="371">
        <f t="shared" si="4"/>
        <v>0</v>
      </c>
      <c r="G35" s="370">
        <f>VLOOKUP(Table1.2_Safety279[[#This Row],[Crash Severity]],TableA1_KABCO117[],2,FALSE)</f>
        <v>78500</v>
      </c>
      <c r="H35" s="370">
        <f t="shared" si="5"/>
        <v>0</v>
      </c>
    </row>
    <row r="36" spans="2:8">
      <c r="B36" s="127" t="s">
        <v>86</v>
      </c>
      <c r="C36" s="203"/>
      <c r="D36" s="371">
        <f t="shared" si="3"/>
        <v>0</v>
      </c>
      <c r="E36" s="203"/>
      <c r="F36" s="371">
        <f t="shared" si="4"/>
        <v>0</v>
      </c>
      <c r="G36" s="370">
        <f>VLOOKUP(Table1.2_Safety279[[#This Row],[Crash Severity]],TableA1_KABCO117[],2,FALSE)</f>
        <v>153700</v>
      </c>
      <c r="H36" s="370">
        <f t="shared" si="5"/>
        <v>0</v>
      </c>
    </row>
    <row r="37" spans="2:8">
      <c r="B37" s="127" t="s">
        <v>87</v>
      </c>
      <c r="C37" s="203"/>
      <c r="D37" s="371">
        <f t="shared" si="3"/>
        <v>0</v>
      </c>
      <c r="E37" s="203"/>
      <c r="F37" s="371">
        <f t="shared" si="4"/>
        <v>0</v>
      </c>
      <c r="G37" s="370">
        <f>VLOOKUP(Table1.2_Safety279[[#This Row],[Crash Severity]],TableA1_KABCO117[],2,FALSE)</f>
        <v>564300</v>
      </c>
      <c r="H37" s="370">
        <f t="shared" si="5"/>
        <v>0</v>
      </c>
    </row>
    <row r="38" spans="2:8">
      <c r="B38" s="127" t="s">
        <v>88</v>
      </c>
      <c r="C38" s="203"/>
      <c r="D38" s="371">
        <f t="shared" si="3"/>
        <v>0</v>
      </c>
      <c r="E38" s="203"/>
      <c r="F38" s="371">
        <f t="shared" si="4"/>
        <v>0</v>
      </c>
      <c r="G38" s="370">
        <f>VLOOKUP(Table1.2_Safety279[[#This Row],[Crash Severity]],TableA1_KABCO117[],2,FALSE)</f>
        <v>11800000</v>
      </c>
      <c r="H38" s="370">
        <f t="shared" si="5"/>
        <v>0</v>
      </c>
    </row>
    <row r="39" spans="2:8">
      <c r="B39" s="127" t="s">
        <v>89</v>
      </c>
      <c r="C39" s="203"/>
      <c r="D39" s="371">
        <f t="shared" si="3"/>
        <v>0</v>
      </c>
      <c r="E39" s="203"/>
      <c r="F39" s="371">
        <f t="shared" si="4"/>
        <v>0</v>
      </c>
      <c r="G39" s="370">
        <f>VLOOKUP(Table1.2_Safety279[[#This Row],[Crash Severity]],TableA1_KABCO117[],2,FALSE)</f>
        <v>213900</v>
      </c>
      <c r="H39" s="370">
        <f t="shared" si="5"/>
        <v>0</v>
      </c>
    </row>
    <row r="40" spans="2:8" ht="25.5">
      <c r="B40" s="127" t="s">
        <v>90</v>
      </c>
      <c r="C40" s="203"/>
      <c r="D40" s="371">
        <f t="shared" si="3"/>
        <v>0</v>
      </c>
      <c r="E40" s="203"/>
      <c r="F40" s="371">
        <f t="shared" si="4"/>
        <v>0</v>
      </c>
      <c r="G40" s="370">
        <f>VLOOKUP(Table1.2_Safety279[[#This Row],[Crash Severity]],TableA1_KABCO117[],2,FALSE)</f>
        <v>162600</v>
      </c>
      <c r="H40" s="370">
        <f t="shared" si="5"/>
        <v>0</v>
      </c>
    </row>
    <row r="41" spans="2:8">
      <c r="B41" s="127" t="s">
        <v>91</v>
      </c>
      <c r="C41" s="203"/>
      <c r="D41" s="371">
        <f t="shared" si="3"/>
        <v>0</v>
      </c>
      <c r="E41" s="203"/>
      <c r="F41" s="371">
        <f t="shared" si="4"/>
        <v>0</v>
      </c>
      <c r="G41" s="370">
        <f>VLOOKUP(Table1.2_Safety279[[#This Row],[Crash Severity]],TableA1_KABCO117[],2,FALSE)</f>
        <v>307800</v>
      </c>
      <c r="H41" s="370">
        <f t="shared" si="5"/>
        <v>0</v>
      </c>
    </row>
    <row r="42" spans="2:8">
      <c r="B42" s="127" t="s">
        <v>92</v>
      </c>
      <c r="C42" s="203"/>
      <c r="D42" s="371">
        <f t="shared" si="3"/>
        <v>0</v>
      </c>
      <c r="E42" s="203"/>
      <c r="F42" s="371">
        <f t="shared" si="4"/>
        <v>0</v>
      </c>
      <c r="G42" s="370">
        <f>VLOOKUP(Table1.2_Safety279[[#This Row],[Crash Severity]],TableA1_KABCO117[],2,FALSE)</f>
        <v>13046800</v>
      </c>
      <c r="H42" s="370">
        <f t="shared" si="5"/>
        <v>0</v>
      </c>
    </row>
    <row r="43" spans="2:8">
      <c r="B43" s="89" t="s">
        <v>28</v>
      </c>
      <c r="C43" s="59">
        <f>SUBTOTAL(109,Table1.2_Safety279[Total Crashes])</f>
        <v>0</v>
      </c>
      <c r="D43" s="59">
        <f>SUBTOTAL(109,Table1.2_Safety279[Number of Crashes per Year])</f>
        <v>0</v>
      </c>
      <c r="E43" s="59" t="e">
        <f>SUBTOTAL(101,Table1.2_Safety279[Crash Reduction Factor])</f>
        <v>#DIV/0!</v>
      </c>
      <c r="F43" s="59">
        <f>SUBTOTAL(109,Table1.2_Safety279[Predicted Annual Crash Reduction])</f>
        <v>0</v>
      </c>
      <c r="G43" s="59"/>
      <c r="H43" s="222">
        <f>SUBTOTAL(109,Table1.2_Safety279[Annual Savings])</f>
        <v>0</v>
      </c>
    </row>
    <row r="44" spans="2:8">
      <c r="B44" s="90"/>
      <c r="C44" s="90"/>
      <c r="D44" s="90"/>
      <c r="E44" s="90"/>
      <c r="F44" s="90"/>
      <c r="G44" s="91"/>
      <c r="H44" s="372"/>
    </row>
    <row r="45" spans="2:8">
      <c r="B45" s="90"/>
      <c r="C45" s="90"/>
      <c r="D45" s="90"/>
      <c r="E45" s="90"/>
      <c r="F45" s="90"/>
      <c r="G45" s="91"/>
      <c r="H45" s="372"/>
    </row>
    <row r="46" spans="2:8">
      <c r="B46" s="91" t="s">
        <v>94</v>
      </c>
      <c r="C46" s="476"/>
      <c r="D46" s="476"/>
      <c r="E46" s="476"/>
      <c r="F46" s="476"/>
      <c r="G46" s="476"/>
      <c r="H46" s="476"/>
    </row>
    <row r="47" spans="2:8" ht="15" customHeight="1">
      <c r="B47" s="91" t="s">
        <v>75</v>
      </c>
      <c r="C47" s="476"/>
      <c r="D47" s="476"/>
      <c r="E47" s="476"/>
      <c r="F47" s="476"/>
      <c r="G47" s="476"/>
      <c r="H47" s="476"/>
    </row>
    <row r="48" spans="2:8">
      <c r="B48" s="90"/>
      <c r="C48" s="119"/>
      <c r="D48" s="119"/>
      <c r="E48" s="119"/>
      <c r="F48" s="119"/>
      <c r="G48" s="119"/>
      <c r="H48" s="119"/>
    </row>
    <row r="49" spans="2:8" ht="25.5">
      <c r="B49" s="122" t="s">
        <v>77</v>
      </c>
      <c r="C49" s="122" t="s">
        <v>78</v>
      </c>
      <c r="D49" s="122" t="s">
        <v>79</v>
      </c>
      <c r="E49" s="122" t="s">
        <v>80</v>
      </c>
      <c r="F49" s="122" t="s">
        <v>81</v>
      </c>
      <c r="G49" s="122" t="s">
        <v>82</v>
      </c>
      <c r="H49" s="122" t="s">
        <v>83</v>
      </c>
    </row>
    <row r="50" spans="2:8">
      <c r="B50" s="127" t="s">
        <v>84</v>
      </c>
      <c r="C50" s="203"/>
      <c r="D50" s="371">
        <f t="shared" ref="D50:D58" si="6">C50/7</f>
        <v>0</v>
      </c>
      <c r="E50" s="203"/>
      <c r="F50" s="371">
        <f t="shared" ref="F50:F58" si="7">D50*E50</f>
        <v>0</v>
      </c>
      <c r="G50" s="370">
        <f>VLOOKUP(Table1.3_Safety383[[#This Row],[Crash Severity]],TableA1_KABCO117[],2,FALSE)</f>
        <v>4000</v>
      </c>
      <c r="H50" s="370">
        <f t="shared" ref="H50:H58" si="8">G50*F50</f>
        <v>0</v>
      </c>
    </row>
    <row r="51" spans="2:8">
      <c r="B51" s="127" t="s">
        <v>85</v>
      </c>
      <c r="C51" s="203"/>
      <c r="D51" s="371">
        <f t="shared" si="6"/>
        <v>0</v>
      </c>
      <c r="E51" s="203"/>
      <c r="F51" s="371">
        <f t="shared" si="7"/>
        <v>0</v>
      </c>
      <c r="G51" s="370">
        <f>VLOOKUP(Table1.3_Safety383[[#This Row],[Crash Severity]],TableA1_KABCO117[],2,FALSE)</f>
        <v>78500</v>
      </c>
      <c r="H51" s="370">
        <f t="shared" si="8"/>
        <v>0</v>
      </c>
    </row>
    <row r="52" spans="2:8">
      <c r="B52" s="127" t="s">
        <v>86</v>
      </c>
      <c r="C52" s="203"/>
      <c r="D52" s="371">
        <f t="shared" si="6"/>
        <v>0</v>
      </c>
      <c r="E52" s="203"/>
      <c r="F52" s="371">
        <f t="shared" si="7"/>
        <v>0</v>
      </c>
      <c r="G52" s="370">
        <f>VLOOKUP(Table1.3_Safety383[[#This Row],[Crash Severity]],TableA1_KABCO117[],2,FALSE)</f>
        <v>153700</v>
      </c>
      <c r="H52" s="370">
        <f t="shared" si="8"/>
        <v>0</v>
      </c>
    </row>
    <row r="53" spans="2:8">
      <c r="B53" s="127" t="s">
        <v>87</v>
      </c>
      <c r="C53" s="203"/>
      <c r="D53" s="371">
        <f t="shared" si="6"/>
        <v>0</v>
      </c>
      <c r="E53" s="203"/>
      <c r="F53" s="371">
        <f t="shared" si="7"/>
        <v>0</v>
      </c>
      <c r="G53" s="370">
        <f>VLOOKUP(Table1.3_Safety383[[#This Row],[Crash Severity]],TableA1_KABCO117[],2,FALSE)</f>
        <v>564300</v>
      </c>
      <c r="H53" s="370">
        <f t="shared" si="8"/>
        <v>0</v>
      </c>
    </row>
    <row r="54" spans="2:8">
      <c r="B54" s="127" t="s">
        <v>88</v>
      </c>
      <c r="C54" s="203"/>
      <c r="D54" s="371">
        <f t="shared" si="6"/>
        <v>0</v>
      </c>
      <c r="E54" s="203"/>
      <c r="F54" s="371">
        <f t="shared" si="7"/>
        <v>0</v>
      </c>
      <c r="G54" s="370">
        <f>VLOOKUP(Table1.3_Safety383[[#This Row],[Crash Severity]],TableA1_KABCO117[],2,FALSE)</f>
        <v>11800000</v>
      </c>
      <c r="H54" s="370">
        <f t="shared" si="8"/>
        <v>0</v>
      </c>
    </row>
    <row r="55" spans="2:8">
      <c r="B55" s="127" t="s">
        <v>89</v>
      </c>
      <c r="C55" s="203"/>
      <c r="D55" s="371">
        <f t="shared" si="6"/>
        <v>0</v>
      </c>
      <c r="E55" s="203"/>
      <c r="F55" s="371">
        <f t="shared" si="7"/>
        <v>0</v>
      </c>
      <c r="G55" s="370">
        <f>VLOOKUP(Table1.3_Safety383[[#This Row],[Crash Severity]],TableA1_KABCO117[],2,FALSE)</f>
        <v>213900</v>
      </c>
      <c r="H55" s="370">
        <f t="shared" si="8"/>
        <v>0</v>
      </c>
    </row>
    <row r="56" spans="2:8" ht="25.5">
      <c r="B56" s="127" t="s">
        <v>90</v>
      </c>
      <c r="C56" s="203"/>
      <c r="D56" s="371">
        <f t="shared" si="6"/>
        <v>0</v>
      </c>
      <c r="E56" s="203"/>
      <c r="F56" s="371">
        <f t="shared" si="7"/>
        <v>0</v>
      </c>
      <c r="G56" s="370">
        <f>VLOOKUP(Table1.3_Safety383[[#This Row],[Crash Severity]],TableA1_KABCO117[],2,FALSE)</f>
        <v>162600</v>
      </c>
      <c r="H56" s="370">
        <f t="shared" si="8"/>
        <v>0</v>
      </c>
    </row>
    <row r="57" spans="2:8">
      <c r="B57" s="127" t="s">
        <v>91</v>
      </c>
      <c r="C57" s="203"/>
      <c r="D57" s="371">
        <f t="shared" si="6"/>
        <v>0</v>
      </c>
      <c r="E57" s="203"/>
      <c r="F57" s="371">
        <f t="shared" si="7"/>
        <v>0</v>
      </c>
      <c r="G57" s="370">
        <f>VLOOKUP(Table1.3_Safety383[[#This Row],[Crash Severity]],TableA1_KABCO117[],2,FALSE)</f>
        <v>307800</v>
      </c>
      <c r="H57" s="370">
        <f t="shared" si="8"/>
        <v>0</v>
      </c>
    </row>
    <row r="58" spans="2:8">
      <c r="B58" s="127" t="s">
        <v>92</v>
      </c>
      <c r="C58" s="203"/>
      <c r="D58" s="371">
        <f t="shared" si="6"/>
        <v>0</v>
      </c>
      <c r="E58" s="203"/>
      <c r="F58" s="371">
        <f t="shared" si="7"/>
        <v>0</v>
      </c>
      <c r="G58" s="370">
        <f>VLOOKUP(Table1.3_Safety383[[#This Row],[Crash Severity]],TableA1_KABCO117[],2,FALSE)</f>
        <v>13046800</v>
      </c>
      <c r="H58" s="370">
        <f t="shared" si="8"/>
        <v>0</v>
      </c>
    </row>
    <row r="59" spans="2:8">
      <c r="B59" s="89" t="s">
        <v>28</v>
      </c>
      <c r="C59" s="59">
        <f>SUBTOTAL(109,Table1.3_Safety383[Total Crashes])</f>
        <v>0</v>
      </c>
      <c r="D59" s="59">
        <f>SUBTOTAL(109,Table1.3_Safety383[Number of Crashes per Year])</f>
        <v>0</v>
      </c>
      <c r="E59" s="59" t="e">
        <f>SUBTOTAL(101,Table1.3_Safety383[Crash Reduction Factor])</f>
        <v>#DIV/0!</v>
      </c>
      <c r="F59" s="59">
        <f>SUBTOTAL(109,Table1.3_Safety383[Predicted Annual Crash Reduction])</f>
        <v>0</v>
      </c>
      <c r="G59" s="59"/>
      <c r="H59" s="222">
        <f>SUBTOTAL(109,Table1.3_Safety383[Annual Savings])</f>
        <v>0</v>
      </c>
    </row>
    <row r="60" spans="2:8">
      <c r="B60" s="89"/>
      <c r="C60" s="59"/>
      <c r="D60" s="59"/>
      <c r="E60" s="59"/>
      <c r="F60" s="59"/>
      <c r="G60" s="59"/>
      <c r="H60" s="369"/>
    </row>
    <row r="61" spans="2:8">
      <c r="B61" s="89"/>
      <c r="C61" s="59"/>
      <c r="D61" s="59"/>
      <c r="E61" s="59"/>
      <c r="F61" s="59"/>
      <c r="G61" s="59"/>
      <c r="H61" s="369"/>
    </row>
    <row r="63" spans="2:8">
      <c r="B63" s="121" t="s">
        <v>95</v>
      </c>
    </row>
    <row r="64" spans="2:8">
      <c r="B64" s="91"/>
    </row>
    <row r="65" spans="2:9" ht="25.5">
      <c r="B65" s="122" t="s">
        <v>77</v>
      </c>
      <c r="C65" s="122" t="s">
        <v>78</v>
      </c>
      <c r="D65" s="122" t="s">
        <v>79</v>
      </c>
      <c r="E65" s="122" t="s">
        <v>81</v>
      </c>
      <c r="F65" s="122" t="s">
        <v>82</v>
      </c>
      <c r="G65" s="122" t="s">
        <v>83</v>
      </c>
      <c r="H65" s="122" t="s">
        <v>96</v>
      </c>
      <c r="I65" s="122"/>
    </row>
    <row r="66" spans="2:9">
      <c r="B66" s="122" t="s">
        <v>97</v>
      </c>
      <c r="C66" s="367">
        <f>SUM(Table1.3_Safety383[[#Totals],[Total Crashes]],Table1.2_Safety279[[#Totals],[Total Crashes]],Table1.1_Safety175[[#Totals],[Total Crashes]])</f>
        <v>30.099999999999998</v>
      </c>
      <c r="D66" s="367">
        <f>SUM(Table1.3_Safety383[[#Totals],[Number of Crashes per Year]],Table1.2_Safety279[[#Totals],[Number of Crashes per Year]],Table1.1_Safety175[[#Totals],[Number of Crashes per Year]])</f>
        <v>30.099999999999998</v>
      </c>
      <c r="E66" s="367">
        <f>SUM(Table1.3_Safety383[[#Totals],[Predicted Annual Crash Reduction]],Table1.2_Safety279[[#Totals],[Predicted Annual Crash Reduction]],Table1.1_Safety175[[#Totals],[Predicted Annual Crash Reduction]])</f>
        <v>2.9050000000000002</v>
      </c>
      <c r="F66" s="367">
        <f>SUM(Table1.3_Safety383[[#Totals],[Value of Injuries]],Table1.2_Safety279[[#Totals],[Value of Injuries]],Table1.1_Safety175[[#Totals],[Value of Injuries]])</f>
        <v>0</v>
      </c>
      <c r="G66" s="368">
        <f>SUM(Table1.3_Safety383[[#Totals],[Annual Savings]],Table1.2_Safety279[[#Totals],[Annual Savings]],Table1.1_Safety175[[#Totals],[Annual Savings]])</f>
        <v>127043.8</v>
      </c>
      <c r="H66" s="367">
        <f>Table1B1_SafetyBackup85[[#Totals],[Realized Safety Benefit ($/Year)]]</f>
        <v>3938357.799999998</v>
      </c>
      <c r="I66" s="367"/>
    </row>
    <row r="68" spans="2:9">
      <c r="I68" s="126"/>
    </row>
  </sheetData>
  <mergeCells count="8">
    <mergeCell ref="A1:I1"/>
    <mergeCell ref="C31:H31"/>
    <mergeCell ref="C47:H47"/>
    <mergeCell ref="C14:H14"/>
    <mergeCell ref="C15:H15"/>
    <mergeCell ref="C30:H30"/>
    <mergeCell ref="C46:H46"/>
    <mergeCell ref="A7:I11"/>
  </mergeCells>
  <dataValidations count="1">
    <dataValidation allowBlank="1" showInputMessage="1" showErrorMessage="1" sqref="A1" xr:uid="{F5C759DE-3BA5-4265-A124-849527230109}"/>
  </dataValidations>
  <pageMargins left="0.7" right="0.7" top="0.75" bottom="0.75" header="0.3" footer="0.3"/>
  <pageSetup paperSize="3" scale="64" fitToHeight="0" orientation="landscape" r:id="rId1"/>
  <rowBreaks count="1" manualBreakCount="1">
    <brk id="44" max="16383" man="1"/>
  </rowBreaks>
  <drawing r:id="rId2"/>
  <tableParts count="4">
    <tablePart r:id="rId3"/>
    <tablePart r:id="rId4"/>
    <tablePart r:id="rId5"/>
    <tablePart r:id="rId6"/>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E0AEF-2938-427D-BB9D-87D5187568EA}">
  <sheetPr>
    <tabColor theme="0" tint="-0.249977111117893"/>
    <pageSetUpPr fitToPage="1"/>
  </sheetPr>
  <dimension ref="A1:I53"/>
  <sheetViews>
    <sheetView showGridLines="0" zoomScale="85" zoomScaleNormal="85" workbookViewId="0">
      <selection activeCell="L11" sqref="L11"/>
    </sheetView>
  </sheetViews>
  <sheetFormatPr defaultColWidth="9.140625" defaultRowHeight="12.75"/>
  <cols>
    <col min="1" max="1" width="21.7109375" style="61" customWidth="1"/>
    <col min="2" max="2" width="35.7109375" style="61" bestFit="1" customWidth="1"/>
    <col min="3" max="3" width="18.42578125" style="61" bestFit="1" customWidth="1"/>
    <col min="4" max="4" width="25" style="61" customWidth="1"/>
    <col min="5" max="5" width="21.7109375" style="61" customWidth="1"/>
    <col min="6" max="6" width="22.140625" style="61" customWidth="1"/>
    <col min="7" max="7" width="22.7109375" style="61" customWidth="1"/>
    <col min="8" max="9" width="10.7109375" style="61" customWidth="1"/>
    <col min="10" max="16384" width="9.140625" style="61"/>
  </cols>
  <sheetData>
    <row r="1" spans="1:9" ht="15" customHeight="1">
      <c r="A1" s="492" t="s">
        <v>98</v>
      </c>
      <c r="B1" s="493"/>
      <c r="C1" s="493"/>
      <c r="D1" s="493"/>
      <c r="E1" s="493"/>
      <c r="F1" s="493"/>
      <c r="G1" s="493"/>
      <c r="H1" s="493"/>
      <c r="I1" s="493"/>
    </row>
    <row r="2" spans="1:9" ht="15" customHeight="1">
      <c r="A2" s="99" t="s">
        <v>1</v>
      </c>
      <c r="B2" s="71" t="str">
        <f>Project_Name</f>
        <v>Completing the I-95 Missing Move and Quonset Connector Ramps</v>
      </c>
      <c r="C2" s="81"/>
      <c r="D2" s="81"/>
      <c r="E2" s="81"/>
      <c r="F2" s="81"/>
      <c r="G2" s="81"/>
      <c r="H2" s="81"/>
      <c r="I2" s="81"/>
    </row>
    <row r="3" spans="1:9" ht="15" customHeight="1">
      <c r="A3" s="99" t="s">
        <v>2</v>
      </c>
      <c r="B3" s="71" t="s">
        <v>56</v>
      </c>
      <c r="C3" s="81"/>
      <c r="D3" s="81"/>
      <c r="E3" s="81"/>
      <c r="F3" s="81"/>
      <c r="G3" s="81"/>
      <c r="H3" s="81"/>
      <c r="I3" s="81"/>
    </row>
    <row r="4" spans="1:9" ht="15" customHeight="1">
      <c r="A4" s="99" t="s">
        <v>4</v>
      </c>
      <c r="B4" s="100">
        <f>Date</f>
        <v>45159</v>
      </c>
      <c r="C4" s="81"/>
      <c r="D4" s="81"/>
      <c r="E4" s="81"/>
      <c r="F4" s="81"/>
      <c r="G4" s="81"/>
      <c r="H4" s="81"/>
      <c r="I4" s="81"/>
    </row>
    <row r="5" spans="1:9" ht="30" customHeight="1">
      <c r="A5" s="99"/>
      <c r="B5" s="101"/>
      <c r="C5" s="81"/>
      <c r="D5" s="81"/>
      <c r="E5" s="81"/>
      <c r="F5" s="81"/>
      <c r="G5" s="81"/>
      <c r="H5" s="81"/>
      <c r="I5" s="81"/>
    </row>
    <row r="6" spans="1:9" ht="13.5" thickBot="1">
      <c r="A6" s="99"/>
      <c r="B6" s="101"/>
      <c r="C6" s="81"/>
      <c r="D6" s="81"/>
      <c r="E6" s="81"/>
      <c r="F6" s="81"/>
      <c r="G6" s="81"/>
      <c r="H6" s="81"/>
      <c r="I6" s="81"/>
    </row>
    <row r="7" spans="1:9" ht="60.75" customHeight="1" thickBot="1">
      <c r="A7" s="102" t="s">
        <v>99</v>
      </c>
      <c r="B7" s="489" t="s">
        <v>100</v>
      </c>
      <c r="C7" s="490"/>
      <c r="D7" s="490"/>
      <c r="E7" s="490"/>
      <c r="F7" s="490"/>
      <c r="G7" s="490"/>
      <c r="H7" s="490"/>
      <c r="I7" s="491"/>
    </row>
    <row r="8" spans="1:9" ht="60.75" customHeight="1" thickBot="1">
      <c r="A8" s="102" t="s">
        <v>101</v>
      </c>
      <c r="B8" s="489" t="s">
        <v>102</v>
      </c>
      <c r="C8" s="494"/>
      <c r="D8" s="494"/>
      <c r="E8" s="494"/>
      <c r="F8" s="494"/>
      <c r="G8" s="494"/>
      <c r="H8" s="494"/>
      <c r="I8" s="495"/>
    </row>
    <row r="9" spans="1:9" ht="60.75" customHeight="1" thickBot="1">
      <c r="A9" s="102" t="s">
        <v>103</v>
      </c>
      <c r="B9" s="489" t="s">
        <v>104</v>
      </c>
      <c r="C9" s="490"/>
      <c r="D9" s="490"/>
      <c r="E9" s="490"/>
      <c r="F9" s="490"/>
      <c r="G9" s="490"/>
      <c r="H9" s="490"/>
      <c r="I9" s="491"/>
    </row>
    <row r="10" spans="1:9" ht="60.75" customHeight="1" thickBot="1">
      <c r="A10" s="102" t="s">
        <v>105</v>
      </c>
      <c r="B10" s="489" t="s">
        <v>106</v>
      </c>
      <c r="C10" s="490"/>
      <c r="D10" s="490"/>
      <c r="E10" s="490"/>
      <c r="F10" s="490"/>
      <c r="G10" s="490"/>
      <c r="H10" s="490"/>
      <c r="I10" s="491"/>
    </row>
    <row r="11" spans="1:9" ht="60.75" customHeight="1" thickBot="1">
      <c r="A11" s="102" t="s">
        <v>107</v>
      </c>
      <c r="B11" s="489" t="s">
        <v>108</v>
      </c>
      <c r="C11" s="490"/>
      <c r="D11" s="490"/>
      <c r="E11" s="490"/>
      <c r="F11" s="490"/>
      <c r="G11" s="490"/>
      <c r="H11" s="490"/>
      <c r="I11" s="491"/>
    </row>
    <row r="12" spans="1:9" ht="12.75" customHeight="1"/>
    <row r="13" spans="1:9">
      <c r="B13" s="63" t="s">
        <v>109</v>
      </c>
    </row>
    <row r="15" spans="1:9" s="122" customFormat="1" ht="51">
      <c r="B15" s="89" t="s">
        <v>21</v>
      </c>
      <c r="C15" s="89" t="s">
        <v>110</v>
      </c>
      <c r="D15" s="89" t="s">
        <v>111</v>
      </c>
      <c r="E15" s="89" t="s">
        <v>112</v>
      </c>
      <c r="F15" s="89" t="s">
        <v>113</v>
      </c>
      <c r="G15" s="89" t="s">
        <v>114</v>
      </c>
    </row>
    <row r="16" spans="1:9">
      <c r="B16" s="77">
        <f>First_Year+'Q_Appendix B. Project Info'!B20</f>
        <v>2023</v>
      </c>
      <c r="C16" s="213">
        <f>'Q_3D. TTS Backup All Years'!C51</f>
        <v>67440.333333333328</v>
      </c>
      <c r="D16" s="406">
        <f>SUM(Table1.1_Safety175[[#Totals],[Number of Crashes per Year]],Table1.2_Safety279[[#Totals],[Number of Crashes per Year]],Table1.3_Safety383[[#Totals],[Number of Crashes per Year]])</f>
        <v>30.099999999999998</v>
      </c>
      <c r="E16" s="402">
        <f>Table1B1_SafetyBackup85[[#This Row],[Estimated Total Crashes, No Build Scenario (Crashes/Yr)]]-Table1B1_SafetyBackup85[[#This Row],[Predicted Crash Reduction, Preferred Action Scenario (Crashes/Yr)]]</f>
        <v>27.194999999999997</v>
      </c>
      <c r="F16" s="406">
        <f>SUM('Q_1. Safety Benefits'!F27,'Q_1. Safety Benefits'!F43,'Q_1. Safety Benefits'!F59)</f>
        <v>2.9050000000000002</v>
      </c>
      <c r="G16" s="401" cm="1">
        <f t="array" ref="G16">IF(Table1B1_SafetyBackup85[[#This Row],[Year]]&lt;=Closeout,0,IF(Table1B1_SafetyBackup85[[#This Row],[Year]]&lt;=Last_Year,Table1.5_SafetySummary84[Annual Savings],0))</f>
        <v>0</v>
      </c>
    </row>
    <row r="17" spans="2:8">
      <c r="B17" s="77">
        <f>First_Year+'Q_Appendix B. Project Info'!B21</f>
        <v>2024</v>
      </c>
      <c r="C17" s="403">
        <f>'Q_3D. TTS Backup All Years'!C52</f>
        <v>67888</v>
      </c>
      <c r="D17" s="402">
        <f>SUM(Table1.1_Safety175[[#Totals],[Number of Crashes per Year]],Table1.2_Safety279[[#Totals],[Number of Crashes per Year]],Table1.3_Safety383[[#Totals],[Number of Crashes per Year]])</f>
        <v>30.099999999999998</v>
      </c>
      <c r="E17" s="402">
        <f>Table1B1_SafetyBackup85[[#This Row],[Estimated Total Crashes, No Build Scenario (Crashes/Yr)]]-Table1B1_SafetyBackup85[[#This Row],[Predicted Crash Reduction, Preferred Action Scenario (Crashes/Yr)]]</f>
        <v>27.194999999999997</v>
      </c>
      <c r="F17" s="402">
        <f t="shared" ref="F17:F51" si="0">($F$16/$D$16)*D17</f>
        <v>2.9050000000000002</v>
      </c>
      <c r="G17" s="401">
        <f>IF(Table1B1_SafetyBackup85[[#This Row],[Year]]&lt;=Closeout,0,IF(Table1B1_SafetyBackup85[[#This Row],[Year]]&lt;=Last_Year,Table1B1_SafetyBackup85[[#This Row],[Predicted Crash Reduction, Preferred Action Scenario (Crashes/Yr)]],0))</f>
        <v>0</v>
      </c>
    </row>
    <row r="18" spans="2:8">
      <c r="B18" s="77">
        <f>First_Year+'Q_Appendix B. Project Info'!B22</f>
        <v>2025</v>
      </c>
      <c r="C18" s="403">
        <f>'Q_3D. TTS Backup All Years'!C53</f>
        <v>68335.666666666672</v>
      </c>
      <c r="D18" s="402">
        <f>SUM(Table1.1_Safety175[[#Totals],[Number of Crashes per Year]],Table1.2_Safety279[[#Totals],[Number of Crashes per Year]],Table1.3_Safety383[[#Totals],[Number of Crashes per Year]])</f>
        <v>30.099999999999998</v>
      </c>
      <c r="E18" s="402">
        <f>Table1B1_SafetyBackup85[[#This Row],[Estimated Total Crashes, No Build Scenario (Crashes/Yr)]]-Table1B1_SafetyBackup85[[#This Row],[Predicted Crash Reduction, Preferred Action Scenario (Crashes/Yr)]]</f>
        <v>27.194999999999997</v>
      </c>
      <c r="F18" s="402">
        <f t="shared" si="0"/>
        <v>2.9050000000000002</v>
      </c>
      <c r="G18" s="401">
        <f>IF(Table1B1_SafetyBackup85[[#This Row],[Year]]&lt;=Closeout,0,IF(Table1B1_SafetyBackup85[[#This Row],[Year]]&lt;=Last_Year,Table1B1_SafetyBackup85[[#This Row],[Predicted Crash Reduction, Preferred Action Scenario (Crashes/Yr)]],0))</f>
        <v>0</v>
      </c>
    </row>
    <row r="19" spans="2:8">
      <c r="B19" s="77">
        <f>First_Year+'Q_Appendix B. Project Info'!B23</f>
        <v>2026</v>
      </c>
      <c r="C19" s="403">
        <f>'Q_3D. TTS Backup All Years'!C54</f>
        <v>68783.333333333328</v>
      </c>
      <c r="D19" s="402">
        <f>SUM(Table1.1_Safety175[[#Totals],[Number of Crashes per Year]],Table1.2_Safety279[[#Totals],[Number of Crashes per Year]],Table1.3_Safety383[[#Totals],[Number of Crashes per Year]])</f>
        <v>30.099999999999998</v>
      </c>
      <c r="E19" s="402">
        <f>Table1B1_SafetyBackup85[[#This Row],[Estimated Total Crashes, No Build Scenario (Crashes/Yr)]]-Table1B1_SafetyBackup85[[#This Row],[Predicted Crash Reduction, Preferred Action Scenario (Crashes/Yr)]]</f>
        <v>27.194999999999997</v>
      </c>
      <c r="F19" s="402">
        <f t="shared" si="0"/>
        <v>2.9050000000000002</v>
      </c>
      <c r="G19" s="401">
        <f>IF(Table1B1_SafetyBackup85[[#This Row],[Year]]&lt;=Closeout,0,IF(Table1B1_SafetyBackup85[[#This Row],[Year]]&lt;=Last_Year,Table1B1_SafetyBackup85[[#This Row],[Predicted Crash Reduction, Preferred Action Scenario (Crashes/Yr)]],0))</f>
        <v>0</v>
      </c>
    </row>
    <row r="20" spans="2:8">
      <c r="B20" s="77">
        <f>First_Year+'Q_Appendix B. Project Info'!B24</f>
        <v>2027</v>
      </c>
      <c r="C20" s="403">
        <f>'Q_3D. TTS Backup All Years'!C55</f>
        <v>69231</v>
      </c>
      <c r="D20" s="402">
        <f>SUM(Table1.1_Safety175[[#Totals],[Number of Crashes per Year]],Table1.2_Safety279[[#Totals],[Number of Crashes per Year]],Table1.3_Safety383[[#Totals],[Number of Crashes per Year]])</f>
        <v>30.099999999999998</v>
      </c>
      <c r="E20" s="402">
        <f>Table1B1_SafetyBackup85[[#This Row],[Estimated Total Crashes, No Build Scenario (Crashes/Yr)]]-Table1B1_SafetyBackup85[[#This Row],[Predicted Crash Reduction, Preferred Action Scenario (Crashes/Yr)]]</f>
        <v>27.194999999999997</v>
      </c>
      <c r="F20" s="402">
        <f t="shared" si="0"/>
        <v>2.9050000000000002</v>
      </c>
      <c r="G20" s="401">
        <f>IF(Table1B1_SafetyBackup85[[#This Row],[Year]]&lt;=Closeout,0,IF(Table1B1_SafetyBackup85[[#This Row],[Year]]&lt;=Last_Year,Table1B1_SafetyBackup85[[#This Row],[Predicted Crash Reduction, Preferred Action Scenario (Crashes/Yr)]],0))</f>
        <v>0</v>
      </c>
    </row>
    <row r="21" spans="2:8">
      <c r="B21" s="98">
        <f>First_Year+'Q_Appendix B. Project Info'!B25</f>
        <v>2028</v>
      </c>
      <c r="C21" s="214">
        <f>'Q_3D. TTS Backup All Years'!C56</f>
        <v>69678.666666666672</v>
      </c>
      <c r="D21" s="405">
        <f>SUM(Table1.1_Safety175[[#Totals],[Number of Crashes per Year]],Table1.2_Safety279[[#Totals],[Number of Crashes per Year]],Table1.3_Safety383[[#Totals],[Number of Crashes per Year]])</f>
        <v>30.099999999999998</v>
      </c>
      <c r="E21" s="405">
        <f>Table1B1_SafetyBackup85[[#This Row],[Estimated Total Crashes, No Build Scenario (Crashes/Yr)]]-Table1B1_SafetyBackup85[[#This Row],[Predicted Crash Reduction, Preferred Action Scenario (Crashes/Yr)]]</f>
        <v>27.194999999999997</v>
      </c>
      <c r="F21" s="405">
        <f t="shared" si="0"/>
        <v>2.9050000000000002</v>
      </c>
      <c r="G21" s="404" cm="1">
        <f t="array" ref="G21">Table1.5_SafetySummary84[Annual Savings]</f>
        <v>127043.8</v>
      </c>
    </row>
    <row r="22" spans="2:8">
      <c r="B22" s="77">
        <f>First_Year+'Q_Appendix B. Project Info'!B26</f>
        <v>2029</v>
      </c>
      <c r="C22" s="403">
        <f>'Q_3D. TTS Backup All Years'!C57</f>
        <v>70126.333333333328</v>
      </c>
      <c r="D22" s="402">
        <f>SUM(Table1.1_Safety175[[#Totals],[Number of Crashes per Year]],Table1.2_Safety279[[#Totals],[Number of Crashes per Year]],Table1.3_Safety383[[#Totals],[Number of Crashes per Year]])</f>
        <v>30.099999999999998</v>
      </c>
      <c r="E22" s="402">
        <f>Table1B1_SafetyBackup85[[#This Row],[Estimated Total Crashes, No Build Scenario (Crashes/Yr)]]-Table1B1_SafetyBackup85[[#This Row],[Predicted Crash Reduction, Preferred Action Scenario (Crashes/Yr)]]</f>
        <v>27.194999999999997</v>
      </c>
      <c r="F22" s="402">
        <f t="shared" si="0"/>
        <v>2.9050000000000002</v>
      </c>
      <c r="G22" s="401" cm="1">
        <f t="array" ref="G22">Table1.5_SafetySummary84[Annual Savings]</f>
        <v>127043.8</v>
      </c>
      <c r="H22" s="63"/>
    </row>
    <row r="23" spans="2:8">
      <c r="B23" s="77">
        <f>First_Year+'Q_Appendix B. Project Info'!B27</f>
        <v>2030</v>
      </c>
      <c r="C23" s="403">
        <f>'Q_3D. TTS Backup All Years'!C58</f>
        <v>70574</v>
      </c>
      <c r="D23" s="402">
        <f>SUM(Table1.1_Safety175[[#Totals],[Number of Crashes per Year]],Table1.2_Safety279[[#Totals],[Number of Crashes per Year]],Table1.3_Safety383[[#Totals],[Number of Crashes per Year]])</f>
        <v>30.099999999999998</v>
      </c>
      <c r="E23" s="402">
        <f>Table1B1_SafetyBackup85[[#This Row],[Estimated Total Crashes, No Build Scenario (Crashes/Yr)]]-Table1B1_SafetyBackup85[[#This Row],[Predicted Crash Reduction, Preferred Action Scenario (Crashes/Yr)]]</f>
        <v>27.194999999999997</v>
      </c>
      <c r="F23" s="402">
        <f t="shared" si="0"/>
        <v>2.9050000000000002</v>
      </c>
      <c r="G23" s="401">
        <f>G22*(Table1B1_SafetyBackup85[[#This Row],[Predicted Crash Reduction, Preferred Action Scenario (Crashes/Yr)]]/F22)</f>
        <v>127043.8</v>
      </c>
    </row>
    <row r="24" spans="2:8">
      <c r="B24" s="77">
        <f>First_Year+'Q_Appendix B. Project Info'!B28</f>
        <v>2031</v>
      </c>
      <c r="C24" s="403">
        <f>'Q_3D. TTS Backup All Years'!C59</f>
        <v>71021.666666666672</v>
      </c>
      <c r="D24" s="402">
        <f>SUM(Table1.1_Safety175[[#Totals],[Number of Crashes per Year]],Table1.2_Safety279[[#Totals],[Number of Crashes per Year]],Table1.3_Safety383[[#Totals],[Number of Crashes per Year]])</f>
        <v>30.099999999999998</v>
      </c>
      <c r="E24" s="402">
        <f>Table1B1_SafetyBackup85[[#This Row],[Estimated Total Crashes, No Build Scenario (Crashes/Yr)]]-Table1B1_SafetyBackup85[[#This Row],[Predicted Crash Reduction, Preferred Action Scenario (Crashes/Yr)]]</f>
        <v>27.194999999999997</v>
      </c>
      <c r="F24" s="402">
        <f t="shared" si="0"/>
        <v>2.9050000000000002</v>
      </c>
      <c r="G24" s="401">
        <f>G23*(Table1B1_SafetyBackup85[[#This Row],[Predicted Crash Reduction, Preferred Action Scenario (Crashes/Yr)]]/F23)</f>
        <v>127043.8</v>
      </c>
    </row>
    <row r="25" spans="2:8">
      <c r="B25" s="77">
        <f>First_Year+'Q_Appendix B. Project Info'!B29</f>
        <v>2032</v>
      </c>
      <c r="C25" s="403">
        <f>'Q_3D. TTS Backup All Years'!C60</f>
        <v>71469.333333333328</v>
      </c>
      <c r="D25" s="402">
        <f>SUM(Table1.1_Safety175[[#Totals],[Number of Crashes per Year]],Table1.2_Safety279[[#Totals],[Number of Crashes per Year]],Table1.3_Safety383[[#Totals],[Number of Crashes per Year]])</f>
        <v>30.099999999999998</v>
      </c>
      <c r="E25" s="402">
        <f>Table1B1_SafetyBackup85[[#This Row],[Estimated Total Crashes, No Build Scenario (Crashes/Yr)]]-Table1B1_SafetyBackup85[[#This Row],[Predicted Crash Reduction, Preferred Action Scenario (Crashes/Yr)]]</f>
        <v>27.194999999999997</v>
      </c>
      <c r="F25" s="402">
        <f t="shared" si="0"/>
        <v>2.9050000000000002</v>
      </c>
      <c r="G25" s="401">
        <f>G24*(Table1B1_SafetyBackup85[[#This Row],[Predicted Crash Reduction, Preferred Action Scenario (Crashes/Yr)]]/F24)</f>
        <v>127043.8</v>
      </c>
    </row>
    <row r="26" spans="2:8">
      <c r="B26" s="77">
        <f>First_Year+'Q_Appendix B. Project Info'!B30</f>
        <v>2033</v>
      </c>
      <c r="C26" s="403">
        <f>'Q_3D. TTS Backup All Years'!C61</f>
        <v>71917</v>
      </c>
      <c r="D26" s="402">
        <f>SUM(Table1.1_Safety175[[#Totals],[Number of Crashes per Year]],Table1.2_Safety279[[#Totals],[Number of Crashes per Year]],Table1.3_Safety383[[#Totals],[Number of Crashes per Year]])</f>
        <v>30.099999999999998</v>
      </c>
      <c r="E26" s="402">
        <f>Table1B1_SafetyBackup85[[#This Row],[Estimated Total Crashes, No Build Scenario (Crashes/Yr)]]-Table1B1_SafetyBackup85[[#This Row],[Predicted Crash Reduction, Preferred Action Scenario (Crashes/Yr)]]</f>
        <v>27.194999999999997</v>
      </c>
      <c r="F26" s="402">
        <f t="shared" si="0"/>
        <v>2.9050000000000002</v>
      </c>
      <c r="G26" s="401">
        <f>G25*(Table1B1_SafetyBackup85[[#This Row],[Predicted Crash Reduction, Preferred Action Scenario (Crashes/Yr)]]/F25)</f>
        <v>127043.8</v>
      </c>
    </row>
    <row r="27" spans="2:8">
      <c r="B27" s="77">
        <f>First_Year+'Q_Appendix B. Project Info'!B31</f>
        <v>2034</v>
      </c>
      <c r="C27" s="403">
        <f>'Q_3D. TTS Backup All Years'!C62</f>
        <v>72364.666666666672</v>
      </c>
      <c r="D27" s="402">
        <f>SUM(Table1.1_Safety175[[#Totals],[Number of Crashes per Year]],Table1.2_Safety279[[#Totals],[Number of Crashes per Year]],Table1.3_Safety383[[#Totals],[Number of Crashes per Year]])</f>
        <v>30.099999999999998</v>
      </c>
      <c r="E27" s="402">
        <f>Table1B1_SafetyBackup85[[#This Row],[Estimated Total Crashes, No Build Scenario (Crashes/Yr)]]-Table1B1_SafetyBackup85[[#This Row],[Predicted Crash Reduction, Preferred Action Scenario (Crashes/Yr)]]</f>
        <v>27.194999999999997</v>
      </c>
      <c r="F27" s="402">
        <f t="shared" si="0"/>
        <v>2.9050000000000002</v>
      </c>
      <c r="G27" s="401">
        <f>G26*(Table1B1_SafetyBackup85[[#This Row],[Predicted Crash Reduction, Preferred Action Scenario (Crashes/Yr)]]/F26)</f>
        <v>127043.8</v>
      </c>
    </row>
    <row r="28" spans="2:8">
      <c r="B28" s="77">
        <f>First_Year+'Q_Appendix B. Project Info'!B32</f>
        <v>2035</v>
      </c>
      <c r="C28" s="403">
        <f>'Q_3D. TTS Backup All Years'!C63</f>
        <v>72812.333333333328</v>
      </c>
      <c r="D28" s="402">
        <f>SUM(Table1.1_Safety175[[#Totals],[Number of Crashes per Year]],Table1.2_Safety279[[#Totals],[Number of Crashes per Year]],Table1.3_Safety383[[#Totals],[Number of Crashes per Year]])</f>
        <v>30.099999999999998</v>
      </c>
      <c r="E28" s="402">
        <f>Table1B1_SafetyBackup85[[#This Row],[Estimated Total Crashes, No Build Scenario (Crashes/Yr)]]-Table1B1_SafetyBackup85[[#This Row],[Predicted Crash Reduction, Preferred Action Scenario (Crashes/Yr)]]</f>
        <v>27.194999999999997</v>
      </c>
      <c r="F28" s="402">
        <f t="shared" si="0"/>
        <v>2.9050000000000002</v>
      </c>
      <c r="G28" s="401">
        <f>G27*(Table1B1_SafetyBackup85[[#This Row],[Predicted Crash Reduction, Preferred Action Scenario (Crashes/Yr)]]/F27)</f>
        <v>127043.8</v>
      </c>
    </row>
    <row r="29" spans="2:8">
      <c r="B29" s="77">
        <f>First_Year+'Q_Appendix B. Project Info'!B33</f>
        <v>2036</v>
      </c>
      <c r="C29" s="403">
        <f>'Q_3D. TTS Backup All Years'!C64</f>
        <v>73260</v>
      </c>
      <c r="D29" s="402">
        <f>SUM(Table1.1_Safety175[[#Totals],[Number of Crashes per Year]],Table1.2_Safety279[[#Totals],[Number of Crashes per Year]],Table1.3_Safety383[[#Totals],[Number of Crashes per Year]])</f>
        <v>30.099999999999998</v>
      </c>
      <c r="E29" s="402">
        <f>Table1B1_SafetyBackup85[[#This Row],[Estimated Total Crashes, No Build Scenario (Crashes/Yr)]]-Table1B1_SafetyBackup85[[#This Row],[Predicted Crash Reduction, Preferred Action Scenario (Crashes/Yr)]]</f>
        <v>27.194999999999997</v>
      </c>
      <c r="F29" s="402">
        <f t="shared" si="0"/>
        <v>2.9050000000000002</v>
      </c>
      <c r="G29" s="401">
        <f>G28*(Table1B1_SafetyBackup85[[#This Row],[Predicted Crash Reduction, Preferred Action Scenario (Crashes/Yr)]]/F28)</f>
        <v>127043.8</v>
      </c>
    </row>
    <row r="30" spans="2:8">
      <c r="B30" s="77">
        <f>First_Year+'Q_Appendix B. Project Info'!B34</f>
        <v>2037</v>
      </c>
      <c r="C30" s="403">
        <f>'Q_3D. TTS Backup All Years'!C65</f>
        <v>73707.666666666672</v>
      </c>
      <c r="D30" s="402">
        <f>SUM(Table1.1_Safety175[[#Totals],[Number of Crashes per Year]],Table1.2_Safety279[[#Totals],[Number of Crashes per Year]],Table1.3_Safety383[[#Totals],[Number of Crashes per Year]])</f>
        <v>30.099999999999998</v>
      </c>
      <c r="E30" s="402">
        <f>Table1B1_SafetyBackup85[[#This Row],[Estimated Total Crashes, No Build Scenario (Crashes/Yr)]]-Table1B1_SafetyBackup85[[#This Row],[Predicted Crash Reduction, Preferred Action Scenario (Crashes/Yr)]]</f>
        <v>27.194999999999997</v>
      </c>
      <c r="F30" s="402">
        <f t="shared" si="0"/>
        <v>2.9050000000000002</v>
      </c>
      <c r="G30" s="401">
        <f>G29*(Table1B1_SafetyBackup85[[#This Row],[Predicted Crash Reduction, Preferred Action Scenario (Crashes/Yr)]]/F29)</f>
        <v>127043.8</v>
      </c>
    </row>
    <row r="31" spans="2:8">
      <c r="B31" s="77">
        <f>First_Year+'Q_Appendix B. Project Info'!B35</f>
        <v>2038</v>
      </c>
      <c r="C31" s="403">
        <f>'Q_3D. TTS Backup All Years'!C66</f>
        <v>74155.333333333328</v>
      </c>
      <c r="D31" s="402">
        <f>SUM(Table1.1_Safety175[[#Totals],[Number of Crashes per Year]],Table1.2_Safety279[[#Totals],[Number of Crashes per Year]],Table1.3_Safety383[[#Totals],[Number of Crashes per Year]])</f>
        <v>30.099999999999998</v>
      </c>
      <c r="E31" s="402">
        <f>Table1B1_SafetyBackup85[[#This Row],[Estimated Total Crashes, No Build Scenario (Crashes/Yr)]]-Table1B1_SafetyBackup85[[#This Row],[Predicted Crash Reduction, Preferred Action Scenario (Crashes/Yr)]]</f>
        <v>27.194999999999997</v>
      </c>
      <c r="F31" s="402">
        <f t="shared" si="0"/>
        <v>2.9050000000000002</v>
      </c>
      <c r="G31" s="401">
        <f>G30*(Table1B1_SafetyBackup85[[#This Row],[Predicted Crash Reduction, Preferred Action Scenario (Crashes/Yr)]]/F30)</f>
        <v>127043.8</v>
      </c>
    </row>
    <row r="32" spans="2:8">
      <c r="B32" s="77">
        <f>First_Year+'Q_Appendix B. Project Info'!B36</f>
        <v>2039</v>
      </c>
      <c r="C32" s="403">
        <f>'Q_3D. TTS Backup All Years'!C67</f>
        <v>74603</v>
      </c>
      <c r="D32" s="402">
        <f>SUM(Table1.1_Safety175[[#Totals],[Number of Crashes per Year]],Table1.2_Safety279[[#Totals],[Number of Crashes per Year]],Table1.3_Safety383[[#Totals],[Number of Crashes per Year]])</f>
        <v>30.099999999999998</v>
      </c>
      <c r="E32" s="402">
        <f>Table1B1_SafetyBackup85[[#This Row],[Estimated Total Crashes, No Build Scenario (Crashes/Yr)]]-Table1B1_SafetyBackup85[[#This Row],[Predicted Crash Reduction, Preferred Action Scenario (Crashes/Yr)]]</f>
        <v>27.194999999999997</v>
      </c>
      <c r="F32" s="402">
        <f t="shared" si="0"/>
        <v>2.9050000000000002</v>
      </c>
      <c r="G32" s="401">
        <f>G31*(Table1B1_SafetyBackup85[[#This Row],[Predicted Crash Reduction, Preferred Action Scenario (Crashes/Yr)]]/F31)</f>
        <v>127043.8</v>
      </c>
    </row>
    <row r="33" spans="2:7">
      <c r="B33" s="77">
        <f>First_Year+'Q_Appendix B. Project Info'!B37</f>
        <v>2040</v>
      </c>
      <c r="C33" s="403">
        <f>'Q_3D. TTS Backup All Years'!C68</f>
        <v>75050.666666666672</v>
      </c>
      <c r="D33" s="402">
        <f>SUM(Table1.1_Safety175[[#Totals],[Number of Crashes per Year]],Table1.2_Safety279[[#Totals],[Number of Crashes per Year]],Table1.3_Safety383[[#Totals],[Number of Crashes per Year]])</f>
        <v>30.099999999999998</v>
      </c>
      <c r="E33" s="402">
        <f>Table1B1_SafetyBackup85[[#This Row],[Estimated Total Crashes, No Build Scenario (Crashes/Yr)]]-Table1B1_SafetyBackup85[[#This Row],[Predicted Crash Reduction, Preferred Action Scenario (Crashes/Yr)]]</f>
        <v>27.194999999999997</v>
      </c>
      <c r="F33" s="402">
        <f t="shared" si="0"/>
        <v>2.9050000000000002</v>
      </c>
      <c r="G33" s="401">
        <f>G32*(Table1B1_SafetyBackup85[[#This Row],[Predicted Crash Reduction, Preferred Action Scenario (Crashes/Yr)]]/F32)</f>
        <v>127043.8</v>
      </c>
    </row>
    <row r="34" spans="2:7">
      <c r="B34" s="77">
        <f>First_Year+'Q_Appendix B. Project Info'!B38</f>
        <v>2041</v>
      </c>
      <c r="C34" s="403">
        <f>'Q_3D. TTS Backup All Years'!C69</f>
        <v>75498.333333333328</v>
      </c>
      <c r="D34" s="402">
        <f>SUM(Table1.1_Safety175[[#Totals],[Number of Crashes per Year]],Table1.2_Safety279[[#Totals],[Number of Crashes per Year]],Table1.3_Safety383[[#Totals],[Number of Crashes per Year]])</f>
        <v>30.099999999999998</v>
      </c>
      <c r="E34" s="402">
        <f>Table1B1_SafetyBackup85[[#This Row],[Estimated Total Crashes, No Build Scenario (Crashes/Yr)]]-Table1B1_SafetyBackup85[[#This Row],[Predicted Crash Reduction, Preferred Action Scenario (Crashes/Yr)]]</f>
        <v>27.194999999999997</v>
      </c>
      <c r="F34" s="402">
        <f t="shared" si="0"/>
        <v>2.9050000000000002</v>
      </c>
      <c r="G34" s="401">
        <f>G33*(Table1B1_SafetyBackup85[[#This Row],[Predicted Crash Reduction, Preferred Action Scenario (Crashes/Yr)]]/F33)</f>
        <v>127043.8</v>
      </c>
    </row>
    <row r="35" spans="2:7">
      <c r="B35" s="77">
        <f>First_Year+'Q_Appendix B. Project Info'!B39</f>
        <v>2042</v>
      </c>
      <c r="C35" s="403">
        <f>'Q_3D. TTS Backup All Years'!C70</f>
        <v>75946</v>
      </c>
      <c r="D35" s="402">
        <f>SUM(Table1.1_Safety175[[#Totals],[Number of Crashes per Year]],Table1.2_Safety279[[#Totals],[Number of Crashes per Year]],Table1.3_Safety383[[#Totals],[Number of Crashes per Year]])</f>
        <v>30.099999999999998</v>
      </c>
      <c r="E35" s="402">
        <f>Table1B1_SafetyBackup85[[#This Row],[Estimated Total Crashes, No Build Scenario (Crashes/Yr)]]-Table1B1_SafetyBackup85[[#This Row],[Predicted Crash Reduction, Preferred Action Scenario (Crashes/Yr)]]</f>
        <v>27.194999999999997</v>
      </c>
      <c r="F35" s="402">
        <f t="shared" si="0"/>
        <v>2.9050000000000002</v>
      </c>
      <c r="G35" s="401">
        <f>G34*(Table1B1_SafetyBackup85[[#This Row],[Predicted Crash Reduction, Preferred Action Scenario (Crashes/Yr)]]/F34)</f>
        <v>127043.8</v>
      </c>
    </row>
    <row r="36" spans="2:7">
      <c r="B36" s="77">
        <f>First_Year+'Q_Appendix B. Project Info'!B40</f>
        <v>2043</v>
      </c>
      <c r="C36" s="403">
        <f>'Q_3D. TTS Backup All Years'!C71</f>
        <v>76393.666666666672</v>
      </c>
      <c r="D36" s="402">
        <f>SUM(Table1.1_Safety175[[#Totals],[Number of Crashes per Year]],Table1.2_Safety279[[#Totals],[Number of Crashes per Year]],Table1.3_Safety383[[#Totals],[Number of Crashes per Year]])</f>
        <v>30.099999999999998</v>
      </c>
      <c r="E36" s="402">
        <f>Table1B1_SafetyBackup85[[#This Row],[Estimated Total Crashes, No Build Scenario (Crashes/Yr)]]-Table1B1_SafetyBackup85[[#This Row],[Predicted Crash Reduction, Preferred Action Scenario (Crashes/Yr)]]</f>
        <v>27.194999999999997</v>
      </c>
      <c r="F36" s="402">
        <f t="shared" si="0"/>
        <v>2.9050000000000002</v>
      </c>
      <c r="G36" s="401">
        <f>G35*(Table1B1_SafetyBackup85[[#This Row],[Predicted Crash Reduction, Preferred Action Scenario (Crashes/Yr)]]/F35)</f>
        <v>127043.8</v>
      </c>
    </row>
    <row r="37" spans="2:7">
      <c r="B37" s="77">
        <f>First_Year+'Q_Appendix B. Project Info'!B41</f>
        <v>2044</v>
      </c>
      <c r="C37" s="403">
        <f>'Q_3D. TTS Backup All Years'!C72</f>
        <v>76841.333333333328</v>
      </c>
      <c r="D37" s="402">
        <f>SUM(Table1.1_Safety175[[#Totals],[Number of Crashes per Year]],Table1.2_Safety279[[#Totals],[Number of Crashes per Year]],Table1.3_Safety383[[#Totals],[Number of Crashes per Year]])</f>
        <v>30.099999999999998</v>
      </c>
      <c r="E37" s="402">
        <f>Table1B1_SafetyBackup85[[#This Row],[Estimated Total Crashes, No Build Scenario (Crashes/Yr)]]-Table1B1_SafetyBackup85[[#This Row],[Predicted Crash Reduction, Preferred Action Scenario (Crashes/Yr)]]</f>
        <v>27.194999999999997</v>
      </c>
      <c r="F37" s="402">
        <f t="shared" si="0"/>
        <v>2.9050000000000002</v>
      </c>
      <c r="G37" s="401">
        <f>G36*(Table1B1_SafetyBackup85[[#This Row],[Predicted Crash Reduction, Preferred Action Scenario (Crashes/Yr)]]/F36)</f>
        <v>127043.8</v>
      </c>
    </row>
    <row r="38" spans="2:7">
      <c r="B38" s="77">
        <f>First_Year+'Q_Appendix B. Project Info'!B42</f>
        <v>2045</v>
      </c>
      <c r="C38" s="403">
        <f>'Q_3D. TTS Backup All Years'!C73</f>
        <v>77289</v>
      </c>
      <c r="D38" s="402">
        <f>SUM(Table1.1_Safety175[[#Totals],[Number of Crashes per Year]],Table1.2_Safety279[[#Totals],[Number of Crashes per Year]],Table1.3_Safety383[[#Totals],[Number of Crashes per Year]])</f>
        <v>30.099999999999998</v>
      </c>
      <c r="E38" s="402">
        <f>Table1B1_SafetyBackup85[[#This Row],[Estimated Total Crashes, No Build Scenario (Crashes/Yr)]]-Table1B1_SafetyBackup85[[#This Row],[Predicted Crash Reduction, Preferred Action Scenario (Crashes/Yr)]]</f>
        <v>27.194999999999997</v>
      </c>
      <c r="F38" s="402">
        <f t="shared" si="0"/>
        <v>2.9050000000000002</v>
      </c>
      <c r="G38" s="401">
        <f>G37*(Table1B1_SafetyBackup85[[#This Row],[Predicted Crash Reduction, Preferred Action Scenario (Crashes/Yr)]]/F37)</f>
        <v>127043.8</v>
      </c>
    </row>
    <row r="39" spans="2:7">
      <c r="B39" s="77">
        <f>First_Year+'Q_Appendix B. Project Info'!B43</f>
        <v>2046</v>
      </c>
      <c r="C39" s="403">
        <f>'Q_3D. TTS Backup All Years'!C74</f>
        <v>77736.666666666672</v>
      </c>
      <c r="D39" s="402">
        <f>SUM(Table1.1_Safety175[[#Totals],[Number of Crashes per Year]],Table1.2_Safety279[[#Totals],[Number of Crashes per Year]],Table1.3_Safety383[[#Totals],[Number of Crashes per Year]])</f>
        <v>30.099999999999998</v>
      </c>
      <c r="E39" s="402">
        <f>Table1B1_SafetyBackup85[[#This Row],[Estimated Total Crashes, No Build Scenario (Crashes/Yr)]]-Table1B1_SafetyBackup85[[#This Row],[Predicted Crash Reduction, Preferred Action Scenario (Crashes/Yr)]]</f>
        <v>27.194999999999997</v>
      </c>
      <c r="F39" s="402">
        <f t="shared" si="0"/>
        <v>2.9050000000000002</v>
      </c>
      <c r="G39" s="401">
        <f>G38*(Table1B1_SafetyBackup85[[#This Row],[Predicted Crash Reduction, Preferred Action Scenario (Crashes/Yr)]]/F38)</f>
        <v>127043.8</v>
      </c>
    </row>
    <row r="40" spans="2:7">
      <c r="B40" s="77">
        <f>First_Year+'Q_Appendix B. Project Info'!B44</f>
        <v>2047</v>
      </c>
      <c r="C40" s="403">
        <f>'Q_3D. TTS Backup All Years'!C75</f>
        <v>78184.333333333328</v>
      </c>
      <c r="D40" s="402">
        <f>SUM(Table1.1_Safety175[[#Totals],[Number of Crashes per Year]],Table1.2_Safety279[[#Totals],[Number of Crashes per Year]],Table1.3_Safety383[[#Totals],[Number of Crashes per Year]])</f>
        <v>30.099999999999998</v>
      </c>
      <c r="E40" s="402">
        <f>Table1B1_SafetyBackup85[[#This Row],[Estimated Total Crashes, No Build Scenario (Crashes/Yr)]]-Table1B1_SafetyBackup85[[#This Row],[Predicted Crash Reduction, Preferred Action Scenario (Crashes/Yr)]]</f>
        <v>27.194999999999997</v>
      </c>
      <c r="F40" s="402">
        <f t="shared" si="0"/>
        <v>2.9050000000000002</v>
      </c>
      <c r="G40" s="401">
        <f>G39*(Table1B1_SafetyBackup85[[#This Row],[Predicted Crash Reduction, Preferred Action Scenario (Crashes/Yr)]]/F39)</f>
        <v>127043.8</v>
      </c>
    </row>
    <row r="41" spans="2:7">
      <c r="B41" s="77">
        <f>First_Year+'Q_Appendix B. Project Info'!B45</f>
        <v>2048</v>
      </c>
      <c r="C41" s="403">
        <f>'Q_3D. TTS Backup All Years'!C76</f>
        <v>78632</v>
      </c>
      <c r="D41" s="402">
        <f>SUM(Table1.1_Safety175[[#Totals],[Number of Crashes per Year]],Table1.2_Safety279[[#Totals],[Number of Crashes per Year]],Table1.3_Safety383[[#Totals],[Number of Crashes per Year]])</f>
        <v>30.099999999999998</v>
      </c>
      <c r="E41" s="402">
        <f>Table1B1_SafetyBackup85[[#This Row],[Estimated Total Crashes, No Build Scenario (Crashes/Yr)]]-Table1B1_SafetyBackup85[[#This Row],[Predicted Crash Reduction, Preferred Action Scenario (Crashes/Yr)]]</f>
        <v>27.194999999999997</v>
      </c>
      <c r="F41" s="402">
        <f t="shared" si="0"/>
        <v>2.9050000000000002</v>
      </c>
      <c r="G41" s="401">
        <f>G40*(Table1B1_SafetyBackup85[[#This Row],[Predicted Crash Reduction, Preferred Action Scenario (Crashes/Yr)]]/F40)</f>
        <v>127043.8</v>
      </c>
    </row>
    <row r="42" spans="2:7">
      <c r="B42" s="77">
        <f>First_Year+'Q_Appendix B. Project Info'!B46</f>
        <v>2049</v>
      </c>
      <c r="C42" s="403">
        <f>'Q_3D. TTS Backup All Years'!C77</f>
        <v>79079.666666666672</v>
      </c>
      <c r="D42" s="402">
        <f>SUM(Table1.1_Safety175[[#Totals],[Number of Crashes per Year]],Table1.2_Safety279[[#Totals],[Number of Crashes per Year]],Table1.3_Safety383[[#Totals],[Number of Crashes per Year]])</f>
        <v>30.099999999999998</v>
      </c>
      <c r="E42" s="402">
        <f>Table1B1_SafetyBackup85[[#This Row],[Estimated Total Crashes, No Build Scenario (Crashes/Yr)]]-Table1B1_SafetyBackup85[[#This Row],[Predicted Crash Reduction, Preferred Action Scenario (Crashes/Yr)]]</f>
        <v>27.194999999999997</v>
      </c>
      <c r="F42" s="402">
        <f t="shared" si="0"/>
        <v>2.9050000000000002</v>
      </c>
      <c r="G42" s="401">
        <f>G41*(Table1B1_SafetyBackup85[[#This Row],[Predicted Crash Reduction, Preferred Action Scenario (Crashes/Yr)]]/F41)</f>
        <v>127043.8</v>
      </c>
    </row>
    <row r="43" spans="2:7">
      <c r="B43" s="77">
        <f>First_Year+'Q_Appendix B. Project Info'!B47</f>
        <v>2050</v>
      </c>
      <c r="C43" s="403">
        <f>'Q_3D. TTS Backup All Years'!C78</f>
        <v>79527.333333333328</v>
      </c>
      <c r="D43" s="402">
        <f>SUM(Table1.1_Safety175[[#Totals],[Number of Crashes per Year]],Table1.2_Safety279[[#Totals],[Number of Crashes per Year]],Table1.3_Safety383[[#Totals],[Number of Crashes per Year]])</f>
        <v>30.099999999999998</v>
      </c>
      <c r="E43" s="402">
        <f>Table1B1_SafetyBackup85[[#This Row],[Estimated Total Crashes, No Build Scenario (Crashes/Yr)]]-Table1B1_SafetyBackup85[[#This Row],[Predicted Crash Reduction, Preferred Action Scenario (Crashes/Yr)]]</f>
        <v>27.194999999999997</v>
      </c>
      <c r="F43" s="402">
        <f t="shared" si="0"/>
        <v>2.9050000000000002</v>
      </c>
      <c r="G43" s="401">
        <f>G42*(Table1B1_SafetyBackup85[[#This Row],[Predicted Crash Reduction, Preferred Action Scenario (Crashes/Yr)]]/F42)</f>
        <v>127043.8</v>
      </c>
    </row>
    <row r="44" spans="2:7">
      <c r="B44" s="77">
        <f>First_Year+'Q_Appendix B. Project Info'!B48</f>
        <v>2051</v>
      </c>
      <c r="C44" s="403">
        <f>'Q_3D. TTS Backup All Years'!C79</f>
        <v>79975</v>
      </c>
      <c r="D44" s="402">
        <f>SUM(Table1.1_Safety175[[#Totals],[Number of Crashes per Year]],Table1.2_Safety279[[#Totals],[Number of Crashes per Year]],Table1.3_Safety383[[#Totals],[Number of Crashes per Year]])</f>
        <v>30.099999999999998</v>
      </c>
      <c r="E44" s="402">
        <f>Table1B1_SafetyBackup85[[#This Row],[Estimated Total Crashes, No Build Scenario (Crashes/Yr)]]-Table1B1_SafetyBackup85[[#This Row],[Predicted Crash Reduction, Preferred Action Scenario (Crashes/Yr)]]</f>
        <v>27.194999999999997</v>
      </c>
      <c r="F44" s="402">
        <f t="shared" si="0"/>
        <v>2.9050000000000002</v>
      </c>
      <c r="G44" s="401">
        <f>G43*(Table1B1_SafetyBackup85[[#This Row],[Predicted Crash Reduction, Preferred Action Scenario (Crashes/Yr)]]/F43)</f>
        <v>127043.8</v>
      </c>
    </row>
    <row r="45" spans="2:7">
      <c r="B45" s="77">
        <f>First_Year+'Q_Appendix B. Project Info'!B49</f>
        <v>2052</v>
      </c>
      <c r="C45" s="403">
        <f>'Q_3D. TTS Backup All Years'!C80</f>
        <v>80422.666666666672</v>
      </c>
      <c r="D45" s="402">
        <f>SUM(Table1.1_Safety175[[#Totals],[Number of Crashes per Year]],Table1.2_Safety279[[#Totals],[Number of Crashes per Year]],Table1.3_Safety383[[#Totals],[Number of Crashes per Year]])</f>
        <v>30.099999999999998</v>
      </c>
      <c r="E45" s="402">
        <f>Table1B1_SafetyBackup85[[#This Row],[Estimated Total Crashes, No Build Scenario (Crashes/Yr)]]-Table1B1_SafetyBackup85[[#This Row],[Predicted Crash Reduction, Preferred Action Scenario (Crashes/Yr)]]</f>
        <v>27.194999999999997</v>
      </c>
      <c r="F45" s="402">
        <f t="shared" si="0"/>
        <v>2.9050000000000002</v>
      </c>
      <c r="G45" s="401">
        <f>G44*(Table1B1_SafetyBackup85[[#This Row],[Predicted Crash Reduction, Preferred Action Scenario (Crashes/Yr)]]/F44)</f>
        <v>127043.8</v>
      </c>
    </row>
    <row r="46" spans="2:7">
      <c r="B46" s="77">
        <f>First_Year+'Q_Appendix B. Project Info'!B50</f>
        <v>2053</v>
      </c>
      <c r="C46" s="403">
        <f>'Q_3D. TTS Backup All Years'!C81</f>
        <v>80870.333333333328</v>
      </c>
      <c r="D46" s="402">
        <f>SUM(Table1.1_Safety175[[#Totals],[Number of Crashes per Year]],Table1.2_Safety279[[#Totals],[Number of Crashes per Year]],Table1.3_Safety383[[#Totals],[Number of Crashes per Year]])</f>
        <v>30.099999999999998</v>
      </c>
      <c r="E46" s="402">
        <f>Table1B1_SafetyBackup85[[#This Row],[Estimated Total Crashes, No Build Scenario (Crashes/Yr)]]-Table1B1_SafetyBackup85[[#This Row],[Predicted Crash Reduction, Preferred Action Scenario (Crashes/Yr)]]</f>
        <v>27.194999999999997</v>
      </c>
      <c r="F46" s="402">
        <f t="shared" si="0"/>
        <v>2.9050000000000002</v>
      </c>
      <c r="G46" s="401">
        <f>G45*(Table1B1_SafetyBackup85[[#This Row],[Predicted Crash Reduction, Preferred Action Scenario (Crashes/Yr)]]/F45)</f>
        <v>127043.8</v>
      </c>
    </row>
    <row r="47" spans="2:7">
      <c r="B47" s="77">
        <f>First_Year+'Q_Appendix B. Project Info'!B51</f>
        <v>2054</v>
      </c>
      <c r="C47" s="403">
        <f>'Q_3D. TTS Backup All Years'!C82</f>
        <v>81318</v>
      </c>
      <c r="D47" s="402">
        <f>SUM(Table1.1_Safety175[[#Totals],[Number of Crashes per Year]],Table1.2_Safety279[[#Totals],[Number of Crashes per Year]],Table1.3_Safety383[[#Totals],[Number of Crashes per Year]])</f>
        <v>30.099999999999998</v>
      </c>
      <c r="E47" s="402">
        <f>Table1B1_SafetyBackup85[[#This Row],[Estimated Total Crashes, No Build Scenario (Crashes/Yr)]]-Table1B1_SafetyBackup85[[#This Row],[Predicted Crash Reduction, Preferred Action Scenario (Crashes/Yr)]]</f>
        <v>27.194999999999997</v>
      </c>
      <c r="F47" s="402">
        <f t="shared" si="0"/>
        <v>2.9050000000000002</v>
      </c>
      <c r="G47" s="401">
        <f>G46*(Table1B1_SafetyBackup85[[#This Row],[Predicted Crash Reduction, Preferred Action Scenario (Crashes/Yr)]]/F46)</f>
        <v>127043.8</v>
      </c>
    </row>
    <row r="48" spans="2:7">
      <c r="B48" s="77">
        <f>First_Year+'Q_Appendix B. Project Info'!B52</f>
        <v>2055</v>
      </c>
      <c r="C48" s="403">
        <f>'Q_3D. TTS Backup All Years'!C83</f>
        <v>81765.666666666672</v>
      </c>
      <c r="D48" s="402">
        <f>SUM(Table1.1_Safety175[[#Totals],[Number of Crashes per Year]],Table1.2_Safety279[[#Totals],[Number of Crashes per Year]],Table1.3_Safety383[[#Totals],[Number of Crashes per Year]])</f>
        <v>30.099999999999998</v>
      </c>
      <c r="E48" s="402">
        <f>Table1B1_SafetyBackup85[[#This Row],[Estimated Total Crashes, No Build Scenario (Crashes/Yr)]]-Table1B1_SafetyBackup85[[#This Row],[Predicted Crash Reduction, Preferred Action Scenario (Crashes/Yr)]]</f>
        <v>27.194999999999997</v>
      </c>
      <c r="F48" s="402">
        <f t="shared" si="0"/>
        <v>2.9050000000000002</v>
      </c>
      <c r="G48" s="401">
        <f>G47*(Table1B1_SafetyBackup85[[#This Row],[Predicted Crash Reduction, Preferred Action Scenario (Crashes/Yr)]]/F47)</f>
        <v>127043.8</v>
      </c>
    </row>
    <row r="49" spans="2:7">
      <c r="B49" s="77">
        <f>First_Year+'Q_Appendix B. Project Info'!B53</f>
        <v>2056</v>
      </c>
      <c r="C49" s="403">
        <f>'Q_3D. TTS Backup All Years'!C84</f>
        <v>82213.333333333328</v>
      </c>
      <c r="D49" s="402">
        <f>SUM(Table1.1_Safety175[[#Totals],[Number of Crashes per Year]],Table1.2_Safety279[[#Totals],[Number of Crashes per Year]],Table1.3_Safety383[[#Totals],[Number of Crashes per Year]])</f>
        <v>30.099999999999998</v>
      </c>
      <c r="E49" s="402">
        <f>Table1B1_SafetyBackup85[[#This Row],[Estimated Total Crashes, No Build Scenario (Crashes/Yr)]]-Table1B1_SafetyBackup85[[#This Row],[Predicted Crash Reduction, Preferred Action Scenario (Crashes/Yr)]]</f>
        <v>27.194999999999997</v>
      </c>
      <c r="F49" s="402">
        <f t="shared" si="0"/>
        <v>2.9050000000000002</v>
      </c>
      <c r="G49" s="401">
        <f>G48*(Table1B1_SafetyBackup85[[#This Row],[Predicted Crash Reduction, Preferred Action Scenario (Crashes/Yr)]]/F48)</f>
        <v>127043.8</v>
      </c>
    </row>
    <row r="50" spans="2:7">
      <c r="B50" s="77">
        <f>First_Year+'Q_Appendix B. Project Info'!B54</f>
        <v>2057</v>
      </c>
      <c r="C50" s="403">
        <f>'Q_3D. TTS Backup All Years'!C85</f>
        <v>82661</v>
      </c>
      <c r="D50" s="402">
        <f>SUM(Table1.1_Safety175[[#Totals],[Number of Crashes per Year]],Table1.2_Safety279[[#Totals],[Number of Crashes per Year]],Table1.3_Safety383[[#Totals],[Number of Crashes per Year]])</f>
        <v>30.099999999999998</v>
      </c>
      <c r="E50" s="402">
        <f>Table1B1_SafetyBackup85[[#This Row],[Estimated Total Crashes, No Build Scenario (Crashes/Yr)]]-Table1B1_SafetyBackup85[[#This Row],[Predicted Crash Reduction, Preferred Action Scenario (Crashes/Yr)]]</f>
        <v>27.194999999999997</v>
      </c>
      <c r="F50" s="402">
        <f t="shared" si="0"/>
        <v>2.9050000000000002</v>
      </c>
      <c r="G50" s="401">
        <f>G49*(Table1B1_SafetyBackup85[[#This Row],[Predicted Crash Reduction, Preferred Action Scenario (Crashes/Yr)]]/F49)</f>
        <v>127043.8</v>
      </c>
    </row>
    <row r="51" spans="2:7">
      <c r="B51" s="77">
        <f>First_Year+'Q_Appendix B. Project Info'!B55</f>
        <v>2058</v>
      </c>
      <c r="C51" s="213">
        <f>'Q_3D. TTS Backup All Years'!C86</f>
        <v>83108.666666666672</v>
      </c>
      <c r="D51" s="402">
        <f>SUM(Table1.1_Safety175[[#Totals],[Number of Crashes per Year]],Table1.2_Safety279[[#Totals],[Number of Crashes per Year]],Table1.3_Safety383[[#Totals],[Number of Crashes per Year]])</f>
        <v>30.099999999999998</v>
      </c>
      <c r="E51" s="402">
        <f>Table1B1_SafetyBackup85[[#This Row],[Estimated Total Crashes, No Build Scenario (Crashes/Yr)]]-Table1B1_SafetyBackup85[[#This Row],[Predicted Crash Reduction, Preferred Action Scenario (Crashes/Yr)]]</f>
        <v>27.194999999999997</v>
      </c>
      <c r="F51" s="402">
        <f t="shared" si="0"/>
        <v>2.9050000000000002</v>
      </c>
      <c r="G51" s="401">
        <f>G50*(Table1B1_SafetyBackup85[[#This Row],[Predicted Crash Reduction, Preferred Action Scenario (Crashes/Yr)]]/F50)</f>
        <v>127043.8</v>
      </c>
    </row>
    <row r="52" spans="2:7">
      <c r="B52" s="77"/>
      <c r="C52" s="206">
        <f>SUBTOTAL(109,Table1B1_SafetyBackup85[Traffic Count])</f>
        <v>2709881.9999999995</v>
      </c>
      <c r="D52" s="206">
        <f>SUBTOTAL(109,Table1B1_SafetyBackup85[Estimated Total Crashes, No Build Scenario (Crashes/Yr)])</f>
        <v>1083.6000000000004</v>
      </c>
      <c r="E52" s="207">
        <f>SUBTOTAL(109,Table1B1_SafetyBackup85[Estimated Total Crashes, Preferred Action Scenario])</f>
        <v>979.02000000000078</v>
      </c>
      <c r="F52" s="68">
        <f>SUBTOTAL(109,Table1B1_SafetyBackup85[Predicted Crash Reduction, Preferred Action Scenario (Crashes/Yr)])</f>
        <v>104.58000000000003</v>
      </c>
      <c r="G52" s="68">
        <f>SUBTOTAL(109,Table1B1_SafetyBackup85[Realized Safety Benefit ($/Year)])</f>
        <v>3938357.799999998</v>
      </c>
    </row>
    <row r="53" spans="2:7">
      <c r="B53" s="77"/>
    </row>
  </sheetData>
  <mergeCells count="6">
    <mergeCell ref="B11:I11"/>
    <mergeCell ref="A1:I1"/>
    <mergeCell ref="B7:I7"/>
    <mergeCell ref="B8:I8"/>
    <mergeCell ref="B9:I9"/>
    <mergeCell ref="B10:I10"/>
  </mergeCells>
  <dataValidations count="1">
    <dataValidation allowBlank="1" showInputMessage="1" showErrorMessage="1" sqref="A1" xr:uid="{5D7C6ADD-765B-4904-9023-1CE8B3E72F97}"/>
  </dataValidations>
  <pageMargins left="0.7" right="0.7" top="0.75" bottom="0.75" header="0.3" footer="0.3"/>
  <pageSetup scale="58"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pageSetUpPr fitToPage="1"/>
  </sheetPr>
  <dimension ref="A1:I51"/>
  <sheetViews>
    <sheetView showGridLines="0" topLeftCell="B12" workbookViewId="0">
      <selection activeCell="K24" sqref="K24"/>
    </sheetView>
  </sheetViews>
  <sheetFormatPr defaultColWidth="9.140625" defaultRowHeight="12.75"/>
  <cols>
    <col min="1" max="1" width="21.7109375" style="61" customWidth="1"/>
    <col min="2" max="8" width="15.7109375" style="61" customWidth="1"/>
    <col min="9" max="9" width="21.7109375" style="61" customWidth="1"/>
    <col min="10" max="16384" width="9.140625" style="61"/>
  </cols>
  <sheetData>
    <row r="1" spans="1:9" ht="15" customHeight="1">
      <c r="A1" s="497" t="s">
        <v>118</v>
      </c>
      <c r="B1" s="497"/>
      <c r="C1" s="497"/>
      <c r="D1" s="497"/>
      <c r="E1" s="497"/>
      <c r="F1" s="497"/>
      <c r="G1" s="497"/>
      <c r="H1" s="497"/>
      <c r="I1" s="497"/>
    </row>
    <row r="2" spans="1:9" ht="15" customHeight="1">
      <c r="A2" s="62" t="s">
        <v>1</v>
      </c>
      <c r="B2" s="63" t="str">
        <f>Project_Name</f>
        <v>Completing the I-95 Missing Move and Quonset Connector Ramps</v>
      </c>
      <c r="C2" s="63"/>
    </row>
    <row r="3" spans="1:9" ht="15" customHeight="1">
      <c r="A3" s="62" t="s">
        <v>2</v>
      </c>
      <c r="B3" s="63" t="s">
        <v>29</v>
      </c>
      <c r="C3" s="63"/>
    </row>
    <row r="4" spans="1:9" ht="15" customHeight="1">
      <c r="A4" s="62" t="s">
        <v>4</v>
      </c>
      <c r="B4" s="72">
        <f>Date</f>
        <v>45159</v>
      </c>
      <c r="C4" s="72"/>
    </row>
    <row r="5" spans="1:9" ht="30" customHeight="1"/>
    <row r="6" spans="1:9" ht="13.5" thickBot="1"/>
    <row r="7" spans="1:9">
      <c r="A7" s="498" t="s">
        <v>119</v>
      </c>
      <c r="B7" s="481"/>
      <c r="C7" s="481"/>
      <c r="D7" s="481"/>
      <c r="E7" s="481"/>
      <c r="F7" s="481"/>
      <c r="G7" s="481"/>
      <c r="H7" s="481"/>
      <c r="I7" s="482"/>
    </row>
    <row r="8" spans="1:9">
      <c r="A8" s="483"/>
      <c r="B8" s="484"/>
      <c r="C8" s="484"/>
      <c r="D8" s="484"/>
      <c r="E8" s="484"/>
      <c r="F8" s="484"/>
      <c r="G8" s="484"/>
      <c r="H8" s="484"/>
      <c r="I8" s="485"/>
    </row>
    <row r="9" spans="1:9" ht="65.25" customHeight="1">
      <c r="A9" s="483"/>
      <c r="B9" s="484"/>
      <c r="C9" s="484"/>
      <c r="D9" s="484"/>
      <c r="E9" s="484"/>
      <c r="F9" s="484"/>
      <c r="G9" s="484"/>
      <c r="H9" s="484"/>
      <c r="I9" s="485"/>
    </row>
    <row r="10" spans="1:9">
      <c r="A10" s="483"/>
      <c r="B10" s="484"/>
      <c r="C10" s="484"/>
      <c r="D10" s="484"/>
      <c r="E10" s="484"/>
      <c r="F10" s="484"/>
      <c r="G10" s="484"/>
      <c r="H10" s="484"/>
      <c r="I10" s="485"/>
    </row>
    <row r="11" spans="1:9" ht="65.25" customHeight="1" thickBot="1">
      <c r="A11" s="486"/>
      <c r="B11" s="487"/>
      <c r="C11" s="487"/>
      <c r="D11" s="487"/>
      <c r="E11" s="487"/>
      <c r="F11" s="487"/>
      <c r="G11" s="487"/>
      <c r="H11" s="487"/>
      <c r="I11" s="488"/>
    </row>
    <row r="12" spans="1:9">
      <c r="B12" s="81"/>
      <c r="C12" s="81"/>
      <c r="D12" s="81"/>
      <c r="E12" s="81"/>
      <c r="F12" s="81"/>
      <c r="G12" s="81"/>
      <c r="H12" s="81"/>
      <c r="I12" s="81"/>
    </row>
    <row r="13" spans="1:9">
      <c r="B13" s="81"/>
      <c r="C13" s="81"/>
      <c r="D13" s="81"/>
      <c r="E13" s="81"/>
      <c r="F13" s="81"/>
      <c r="G13" s="81"/>
      <c r="H13" s="81"/>
      <c r="I13" s="81"/>
    </row>
    <row r="14" spans="1:9">
      <c r="B14" s="71" t="s">
        <v>120</v>
      </c>
      <c r="C14" s="81"/>
      <c r="D14" s="81"/>
      <c r="E14" s="81"/>
      <c r="F14" s="81"/>
      <c r="G14" s="81"/>
      <c r="H14" s="81"/>
      <c r="I14" s="81"/>
    </row>
    <row r="15" spans="1:9">
      <c r="B15" s="81"/>
      <c r="C15" s="81"/>
      <c r="D15" s="81"/>
      <c r="E15" s="81"/>
      <c r="F15" s="81"/>
      <c r="G15" s="81"/>
      <c r="H15" s="81"/>
      <c r="I15" s="81"/>
    </row>
    <row r="16" spans="1:9" s="77" customFormat="1" ht="15.75">
      <c r="B16" s="122" t="s">
        <v>21</v>
      </c>
      <c r="C16" s="77" t="s">
        <v>121</v>
      </c>
      <c r="D16" s="77" t="s">
        <v>122</v>
      </c>
      <c r="E16" s="77" t="s">
        <v>123</v>
      </c>
      <c r="F16" s="77" t="s">
        <v>124</v>
      </c>
      <c r="G16" s="77" t="s">
        <v>125</v>
      </c>
      <c r="H16" s="77" t="s">
        <v>126</v>
      </c>
      <c r="I16" s="77" t="s">
        <v>28</v>
      </c>
    </row>
    <row r="17" spans="2:9">
      <c r="B17" s="122">
        <v>2028</v>
      </c>
      <c r="C17" s="177" cm="1">
        <f t="array" ref="C17">IFERROR(INDEX(Table2B.3_AQ_Dif[[#Headers],[#Data],[Year]:[VOC]],MATCH(Table2.1_EmRed[[#This Row],[Year]:[Year]],Table2B.3_AQ_Dif[[#Headers],[#Data],[Year]:[Year]],0),MATCH(Table2.1_EmRed[[#Headers],[NOX]],Table2B.3_AQ_Dif[[#Headers],[Year]:[VOC]],0)),"")</f>
        <v>0.15562486807289133</v>
      </c>
      <c r="D17" s="177" cm="1">
        <f t="array" ref="D17">IFERROR(INDEX(Table2B.3_AQ_Dif[[#Headers],[#Data],[Year]:[VOC]],MATCH(Table2.1_EmRed[[#This Row],[Year]:[Year]],Table2B.3_AQ_Dif[[#Headers],[#Data],[Year]:[Year]],0),MATCH(Table2.1_EmRed[[#Headers],[SOx]],Table2B.3_AQ_Dif[[#Headers],[Year]:[VOC]],0)),"")</f>
        <v>6.098526486918443E-4</v>
      </c>
      <c r="E17" s="177" cm="1">
        <f t="array" ref="E17">IFERROR(INDEX(Table2B.3_AQ_Dif[[#Headers],[#Data],[Year]:[VOC]],MATCH(Table2.1_EmRed[[#This Row],[Year]:[Year]],Table2B.3_AQ_Dif[[#Headers],[#Data],[Year]:[Year]],0),MATCH(Table2.1_EmRed[[#Headers],[PM2.5]],Table2B.3_AQ_Dif[[#Headers],[Year]:[VOC]],0)),"")</f>
        <v>1.5712956801643418E-2</v>
      </c>
      <c r="F17" s="177" cm="1">
        <f t="array" ref="F17">IFERROR(INDEX(Table2B.3_AQ_Dif[[#Headers],[#Data],[Year]:[VOC]],MATCH(Table2.1_EmRed[[#This Row],[Year]:[Year]],Table2B.3_AQ_Dif[[#Headers],[#Data],[Year]:[Year]],0),MATCH(Table2.1_EmRed[[#Headers],[CO2]],Table2B.3_AQ_Dif[[#Headers],[Year]:[VOC]],0)),"")</f>
        <v>100.78353768905799</v>
      </c>
      <c r="G17" s="177" cm="1">
        <f t="array" ref="G17">IFERROR(INDEX(Table2B.3_AQ_Dif[[#Headers],[#Data],[Year]:[VOC]],MATCH(Table2.1_EmRed[[#This Row],[Year]:[Year]],Table2B.3_AQ_Dif[[#Headers],[#Data],[Year]:[Year]],0),MATCH(Table2.1_EmRed[[#Headers],[PM10]],Table2B.3_AQ_Dif[[#Headers],[Year]:[VOC]],0)),"")</f>
        <v>9.714330859678455E-2</v>
      </c>
      <c r="H17" s="177" cm="1">
        <f t="array" ref="H17">IFERROR(INDEX(Table2B.3_AQ_Dif[[#Headers],[#Data],[Year]:[VOC]],MATCH(Table2.1_EmRed[[#This Row],[Year]:[Year]],Table2B.3_AQ_Dif[[#Headers],[#Data],[Year]:[Year]],0),MATCH(Table2.1_EmRed[[#Headers],[VOC]],Table2B.3_AQ_Dif[[#Headers],[Year]:[VOC]],0)),"")</f>
        <v>5.7291188809081461E-2</v>
      </c>
      <c r="I17" s="177">
        <f>SUM(Table2.1_EmRed[[#This Row],[NOX]:[VOC]])</f>
        <v>101.10991986398707</v>
      </c>
    </row>
    <row r="18" spans="2:9">
      <c r="B18" s="122">
        <v>2029</v>
      </c>
      <c r="C18" s="177" cm="1">
        <f t="array" ref="C18">IFERROR(INDEX(Table2B.3_AQ_Dif[[#Headers],[#Data],[Year]:[VOC]],MATCH(Table2.1_EmRed[[#This Row],[Year]:[Year]],Table2B.3_AQ_Dif[[#Headers],[#Data],[Year]:[Year]],0),MATCH(Table2.1_EmRed[[#Headers],[NOX]],Table2B.3_AQ_Dif[[#Headers],[Year]:[VOC]],0)),"")</f>
        <v>0.21753786367492722</v>
      </c>
      <c r="D18" s="177" cm="1">
        <f t="array" ref="D18">IFERROR(INDEX(Table2B.3_AQ_Dif[[#Headers],[#Data],[Year]:[VOC]],MATCH(Table2.1_EmRed[[#This Row],[Year]:[Year]],Table2B.3_AQ_Dif[[#Headers],[#Data],[Year]:[Year]],0),MATCH(Table2.1_EmRed[[#Headers],[SOx]],Table2B.3_AQ_Dif[[#Headers],[Year]:[VOC]],0)),"")</f>
        <v>8.6290926443910454E-4</v>
      </c>
      <c r="E18" s="177" cm="1">
        <f t="array" ref="E18">IFERROR(INDEX(Table2B.3_AQ_Dif[[#Headers],[#Data],[Year]:[VOC]],MATCH(Table2.1_EmRed[[#This Row],[Year]:[Year]],Table2B.3_AQ_Dif[[#Headers],[#Data],[Year]:[Year]],0),MATCH(Table2.1_EmRed[[#Headers],[PM2.5]],Table2B.3_AQ_Dif[[#Headers],[Year]:[VOC]],0)),"")</f>
        <v>2.6931642258805955E-2</v>
      </c>
      <c r="F18" s="177" cm="1">
        <f t="array" ref="F18">IFERROR(INDEX(Table2B.3_AQ_Dif[[#Headers],[#Data],[Year]:[VOC]],MATCH(Table2.1_EmRed[[#This Row],[Year]:[Year]],Table2B.3_AQ_Dif[[#Headers],[#Data],[Year]:[Year]],0),MATCH(Table2.1_EmRed[[#Headers],[CO2]],Table2B.3_AQ_Dif[[#Headers],[Year]:[VOC]],0)),"")</f>
        <v>142.64865581862978</v>
      </c>
      <c r="G18" s="177" cm="1">
        <f t="array" ref="G18">IFERROR(INDEX(Table2B.3_AQ_Dif[[#Headers],[#Data],[Year]:[VOC]],MATCH(Table2.1_EmRed[[#This Row],[Year]:[Year]],Table2B.3_AQ_Dif[[#Headers],[#Data],[Year]:[Year]],0),MATCH(Table2.1_EmRed[[#Headers],[PM10]],Table2B.3_AQ_Dif[[#Headers],[Year]:[VOC]],0)),"")</f>
        <v>0.18747002095329179</v>
      </c>
      <c r="H18" s="177" cm="1">
        <f t="array" ref="H18">IFERROR(INDEX(Table2B.3_AQ_Dif[[#Headers],[#Data],[Year]:[VOC]],MATCH(Table2.1_EmRed[[#This Row],[Year]:[Year]],Table2B.3_AQ_Dif[[#Headers],[#Data],[Year]:[Year]],0),MATCH(Table2.1_EmRed[[#Headers],[VOC]],Table2B.3_AQ_Dif[[#Headers],[Year]:[VOC]],0)),"")</f>
        <v>9.3631387194569982E-2</v>
      </c>
      <c r="I18" s="177">
        <f>SUM(Table2.1_EmRed[[#This Row],[NOX]:[VOC]])</f>
        <v>143.1750896419758</v>
      </c>
    </row>
    <row r="19" spans="2:9">
      <c r="B19" s="122">
        <v>2030</v>
      </c>
      <c r="C19" s="177" cm="1">
        <f t="array" ref="C19">IFERROR(INDEX(Table2B.3_AQ_Dif[[#Headers],[#Data],[Year]:[VOC]],MATCH(Table2.1_EmRed[[#This Row],[Year]:[Year]],Table2B.3_AQ_Dif[[#Headers],[#Data],[Year]:[Year]],0),MATCH(Table2.1_EmRed[[#Headers],[NOX]],Table2B.3_AQ_Dif[[#Headers],[Year]:[VOC]],0)),"")</f>
        <v>0.27945085927696312</v>
      </c>
      <c r="D19" s="177" cm="1">
        <f t="array" ref="D19">IFERROR(INDEX(Table2B.3_AQ_Dif[[#Headers],[#Data],[Year]:[VOC]],MATCH(Table2.1_EmRed[[#This Row],[Year]:[Year]],Table2B.3_AQ_Dif[[#Headers],[#Data],[Year]:[Year]],0),MATCH(Table2.1_EmRed[[#Headers],[SOx]],Table2B.3_AQ_Dif[[#Headers],[Year]:[VOC]],0)),"")</f>
        <v>1.1159658801863648E-3</v>
      </c>
      <c r="E19" s="177" cm="1">
        <f t="array" ref="E19">IFERROR(INDEX(Table2B.3_AQ_Dif[[#Headers],[#Data],[Year]:[VOC]],MATCH(Table2.1_EmRed[[#This Row],[Year]:[Year]],Table2B.3_AQ_Dif[[#Headers],[#Data],[Year]:[Year]],0),MATCH(Table2.1_EmRed[[#Headers],[PM2.5]],Table2B.3_AQ_Dif[[#Headers],[Year]:[VOC]],0)),"")</f>
        <v>3.8150327715968491E-2</v>
      </c>
      <c r="F19" s="177" cm="1">
        <f t="array" ref="F19">IFERROR(INDEX(Table2B.3_AQ_Dif[[#Headers],[#Data],[Year]:[VOC]],MATCH(Table2.1_EmRed[[#This Row],[Year]:[Year]],Table2B.3_AQ_Dif[[#Headers],[#Data],[Year]:[Year]],0),MATCH(Table2.1_EmRed[[#Headers],[CO2]],Table2B.3_AQ_Dif[[#Headers],[Year]:[VOC]],0)),"")</f>
        <v>184.51377394820156</v>
      </c>
      <c r="G19" s="177" cm="1">
        <f t="array" ref="G19">IFERROR(INDEX(Table2B.3_AQ_Dif[[#Headers],[#Data],[Year]:[VOC]],MATCH(Table2.1_EmRed[[#This Row],[Year]:[Year]],Table2B.3_AQ_Dif[[#Headers],[#Data],[Year]:[Year]],0),MATCH(Table2.1_EmRed[[#Headers],[PM10]],Table2B.3_AQ_Dif[[#Headers],[Year]:[VOC]],0)),"")</f>
        <v>0.27779673330979904</v>
      </c>
      <c r="H19" s="177" cm="1">
        <f t="array" ref="H19">IFERROR(INDEX(Table2B.3_AQ_Dif[[#Headers],[#Data],[Year]:[VOC]],MATCH(Table2.1_EmRed[[#This Row],[Year]:[Year]],Table2B.3_AQ_Dif[[#Headers],[#Data],[Year]:[Year]],0),MATCH(Table2.1_EmRed[[#Headers],[VOC]],Table2B.3_AQ_Dif[[#Headers],[Year]:[VOC]],0)),"")</f>
        <v>0.1299715855800585</v>
      </c>
      <c r="I19" s="177">
        <f>SUM(Table2.1_EmRed[[#This Row],[NOX]:[VOC]])</f>
        <v>185.24025941996453</v>
      </c>
    </row>
    <row r="20" spans="2:9">
      <c r="B20" s="122">
        <v>2031</v>
      </c>
      <c r="C20" s="177" cm="1">
        <f t="array" ref="C20">IFERROR(INDEX(Table2B.3_AQ_Dif[[#Headers],[#Data],[Year]:[VOC]],MATCH(Table2.1_EmRed[[#This Row],[Year]:[Year]],Table2B.3_AQ_Dif[[#Headers],[#Data],[Year]:[Year]],0),MATCH(Table2.1_EmRed[[#Headers],[NOX]],Table2B.3_AQ_Dif[[#Headers],[Year]:[VOC]],0)),"")</f>
        <v>0.34136385487899901</v>
      </c>
      <c r="D20" s="177" cm="1">
        <f t="array" ref="D20">IFERROR(INDEX(Table2B.3_AQ_Dif[[#Headers],[#Data],[Year]:[VOC]],MATCH(Table2.1_EmRed[[#This Row],[Year]:[Year]],Table2B.3_AQ_Dif[[#Headers],[#Data],[Year]:[Year]],0),MATCH(Table2.1_EmRed[[#Headers],[SOx]],Table2B.3_AQ_Dif[[#Headers],[Year]:[VOC]],0)),"")</f>
        <v>1.369022495933625E-3</v>
      </c>
      <c r="E20" s="177" cm="1">
        <f t="array" ref="E20">IFERROR(INDEX(Table2B.3_AQ_Dif[[#Headers],[#Data],[Year]:[VOC]],MATCH(Table2.1_EmRed[[#This Row],[Year]:[Year]],Table2B.3_AQ_Dif[[#Headers],[#Data],[Year]:[Year]],0),MATCH(Table2.1_EmRed[[#Headers],[PM2.5]],Table2B.3_AQ_Dif[[#Headers],[Year]:[VOC]],0)),"")</f>
        <v>4.9369013173131027E-2</v>
      </c>
      <c r="F20" s="177" cm="1">
        <f t="array" ref="F20">IFERROR(INDEX(Table2B.3_AQ_Dif[[#Headers],[#Data],[Year]:[VOC]],MATCH(Table2.1_EmRed[[#This Row],[Year]:[Year]],Table2B.3_AQ_Dif[[#Headers],[#Data],[Year]:[Year]],0),MATCH(Table2.1_EmRed[[#Headers],[CO2]],Table2B.3_AQ_Dif[[#Headers],[Year]:[VOC]],0)),"")</f>
        <v>226.37889207777334</v>
      </c>
      <c r="G20" s="177" cm="1">
        <f t="array" ref="G20">IFERROR(INDEX(Table2B.3_AQ_Dif[[#Headers],[#Data],[Year]:[VOC]],MATCH(Table2.1_EmRed[[#This Row],[Year]:[Year]],Table2B.3_AQ_Dif[[#Headers],[#Data],[Year]:[Year]],0),MATCH(Table2.1_EmRed[[#Headers],[PM10]],Table2B.3_AQ_Dif[[#Headers],[Year]:[VOC]],0)),"")</f>
        <v>0.36812344566630628</v>
      </c>
      <c r="H20" s="177" cm="1">
        <f t="array" ref="H20">IFERROR(INDEX(Table2B.3_AQ_Dif[[#Headers],[#Data],[Year]:[VOC]],MATCH(Table2.1_EmRed[[#This Row],[Year]:[Year]],Table2B.3_AQ_Dif[[#Headers],[#Data],[Year]:[Year]],0),MATCH(Table2.1_EmRed[[#Headers],[VOC]],Table2B.3_AQ_Dif[[#Headers],[Year]:[VOC]],0)),"")</f>
        <v>0.16631178396554702</v>
      </c>
      <c r="I20" s="177">
        <f>SUM(Table2.1_EmRed[[#This Row],[NOX]:[VOC]])</f>
        <v>227.30542919795326</v>
      </c>
    </row>
    <row r="21" spans="2:9">
      <c r="B21" s="122">
        <v>2032</v>
      </c>
      <c r="C21" s="177" cm="1">
        <f t="array" ref="C21">IFERROR(INDEX(Table2B.3_AQ_Dif[[#Headers],[#Data],[Year]:[VOC]],MATCH(Table2.1_EmRed[[#This Row],[Year]:[Year]],Table2B.3_AQ_Dif[[#Headers],[#Data],[Year]:[Year]],0),MATCH(Table2.1_EmRed[[#Headers],[NOX]],Table2B.3_AQ_Dif[[#Headers],[Year]:[VOC]],0)),"")</f>
        <v>0.4032768504810349</v>
      </c>
      <c r="D21" s="177" cm="1">
        <f t="array" ref="D21">IFERROR(INDEX(Table2B.3_AQ_Dif[[#Headers],[#Data],[Year]:[VOC]],MATCH(Table2.1_EmRed[[#This Row],[Year]:[Year]],Table2B.3_AQ_Dif[[#Headers],[#Data],[Year]:[Year]],0),MATCH(Table2.1_EmRed[[#Headers],[SOx]],Table2B.3_AQ_Dif[[#Headers],[Year]:[VOC]],0)),"")</f>
        <v>1.6220791116808853E-3</v>
      </c>
      <c r="E21" s="177" cm="1">
        <f t="array" ref="E21">IFERROR(INDEX(Table2B.3_AQ_Dif[[#Headers],[#Data],[Year]:[VOC]],MATCH(Table2.1_EmRed[[#This Row],[Year]:[Year]],Table2B.3_AQ_Dif[[#Headers],[#Data],[Year]:[Year]],0),MATCH(Table2.1_EmRed[[#Headers],[PM2.5]],Table2B.3_AQ_Dif[[#Headers],[Year]:[VOC]],0)),"")</f>
        <v>6.0587698630293563E-2</v>
      </c>
      <c r="F21" s="177" cm="1">
        <f t="array" ref="F21">IFERROR(INDEX(Table2B.3_AQ_Dif[[#Headers],[#Data],[Year]:[VOC]],MATCH(Table2.1_EmRed[[#This Row],[Year]:[Year]],Table2B.3_AQ_Dif[[#Headers],[#Data],[Year]:[Year]],0),MATCH(Table2.1_EmRed[[#Headers],[CO2]],Table2B.3_AQ_Dif[[#Headers],[Year]:[VOC]],0)),"")</f>
        <v>268.24401020734513</v>
      </c>
      <c r="G21" s="177" cm="1">
        <f t="array" ref="G21">IFERROR(INDEX(Table2B.3_AQ_Dif[[#Headers],[#Data],[Year]:[VOC]],MATCH(Table2.1_EmRed[[#This Row],[Year]:[Year]],Table2B.3_AQ_Dif[[#Headers],[#Data],[Year]:[Year]],0),MATCH(Table2.1_EmRed[[#Headers],[PM10]],Table2B.3_AQ_Dif[[#Headers],[Year]:[VOC]],0)),"")</f>
        <v>0.45845015802281353</v>
      </c>
      <c r="H21" s="177" cm="1">
        <f t="array" ref="H21">IFERROR(INDEX(Table2B.3_AQ_Dif[[#Headers],[#Data],[Year]:[VOC]],MATCH(Table2.1_EmRed[[#This Row],[Year]:[Year]],Table2B.3_AQ_Dif[[#Headers],[#Data],[Year]:[Year]],0),MATCH(Table2.1_EmRed[[#Headers],[VOC]],Table2B.3_AQ_Dif[[#Headers],[Year]:[VOC]],0)),"")</f>
        <v>0.20265198235103554</v>
      </c>
      <c r="I21" s="177">
        <f>SUM(Table2.1_EmRed[[#This Row],[NOX]:[VOC]])</f>
        <v>269.37059897594196</v>
      </c>
    </row>
    <row r="22" spans="2:9">
      <c r="B22" s="128"/>
      <c r="C22" s="178" t="str" cm="1">
        <f t="array" ref="C22">IFERROR(INDEX(Table2B.3_AQ_Dif[[#Headers],[#Data],[Year]:[VOC]],MATCH(Table2.1_EmRed[[#This Row],[Year]:[Year]],Table2B.3_AQ_Dif[[#Headers],[#Data],[Year]:[Year]],0),MATCH(Table2.1_EmRed[[#Headers],[NOX]],Table2B.3_AQ_Dif[[#Headers],[Year]:[VOC]],0)),"")</f>
        <v/>
      </c>
      <c r="D22" s="178" t="str" cm="1">
        <f t="array" ref="D22">IFERROR(INDEX(Table2B.3_AQ_Dif[[#Headers],[#Data],[Year]:[VOC]],MATCH(Table2.1_EmRed[[#This Row],[Year]:[Year]],Table2B.3_AQ_Dif[[#Headers],[#Data],[Year]:[Year]],0),MATCH(Table2.1_EmRed[[#Headers],[SOx]],Table2B.3_AQ_Dif[[#Headers],[Year]:[VOC]],0)),"")</f>
        <v/>
      </c>
      <c r="E22" s="178" t="str" cm="1">
        <f t="array" ref="E22">IFERROR(INDEX(Table2B.3_AQ_Dif[[#Headers],[#Data],[Year]:[VOC]],MATCH(Table2.1_EmRed[[#This Row],[Year]:[Year]],Table2B.3_AQ_Dif[[#Headers],[#Data],[Year]:[Year]],0),MATCH(Table2.1_EmRed[[#Headers],[PM2.5]],Table2B.3_AQ_Dif[[#Headers],[Year]:[VOC]],0)),"")</f>
        <v/>
      </c>
      <c r="F22" s="178" t="str" cm="1">
        <f t="array" ref="F22">IFERROR(INDEX(Table2B.3_AQ_Dif[[#Headers],[#Data],[Year]:[VOC]],MATCH(Table2.1_EmRed[[#This Row],[Year]:[Year]],Table2B.3_AQ_Dif[[#Headers],[#Data],[Year]:[Year]],0),MATCH(Table2.1_EmRed[[#Headers],[CO2]],Table2B.3_AQ_Dif[[#Headers],[Year]:[VOC]],0)),"")</f>
        <v/>
      </c>
      <c r="G22" s="178" t="str" cm="1">
        <f t="array" ref="G22">IFERROR(INDEX(Table2B.3_AQ_Dif[[#Headers],[#Data],[Year]:[VOC]],MATCH(Table2.1_EmRed[[#This Row],[Year]:[Year]],Table2B.3_AQ_Dif[[#Headers],[#Data],[Year]:[Year]],0),MATCH(Table2.1_EmRed[[#Headers],[PM10]],Table2B.3_AQ_Dif[[#Headers],[Year]:[VOC]],0)),"")</f>
        <v/>
      </c>
      <c r="H22" s="178" t="str" cm="1">
        <f t="array" ref="H22">IFERROR(INDEX(Table2B.3_AQ_Dif[[#Headers],[#Data],[Year]:[VOC]],MATCH(Table2.1_EmRed[[#This Row],[Year]:[Year]],Table2B.3_AQ_Dif[[#Headers],[#Data],[Year]:[Year]],0),MATCH(Table2.1_EmRed[[#Headers],[VOC]],Table2B.3_AQ_Dif[[#Headers],[Year]:[VOC]],0)),"")</f>
        <v/>
      </c>
      <c r="I22" s="179">
        <f>SUM(Table2.1_EmRed[[#This Row],[NOX]:[VOC]])</f>
        <v>0</v>
      </c>
    </row>
    <row r="23" spans="2:9">
      <c r="B23" s="122">
        <v>2058</v>
      </c>
      <c r="C23" s="177" cm="1">
        <f t="array" ref="C23">IFERROR(INDEX(Table2B.3_AQ_Dif[[#Headers],[#Data],[Year]:[VOC]],MATCH(Table2.1_EmRed[[#This Row],[Year]:[Year]],Table2B.3_AQ_Dif[[#Headers],[#Data],[Year]:[Year]],0),MATCH(Table2.1_EmRed[[#Headers],[NOX]],Table2B.3_AQ_Dif[[#Headers],[Year]:[VOC]],0)),"")</f>
        <v>2.0130147361338189</v>
      </c>
      <c r="D23" s="177" cm="1">
        <f t="array" ref="D23">IFERROR(INDEX(Table2B.3_AQ_Dif[[#Headers],[#Data],[Year]:[VOC]],MATCH(Table2.1_EmRed[[#This Row],[Year]:[Year]],Table2B.3_AQ_Dif[[#Headers],[#Data],[Year]:[Year]],0),MATCH(Table2.1_EmRed[[#Headers],[SOx]],Table2B.3_AQ_Dif[[#Headers],[Year]:[VOC]],0)),"")</f>
        <v>8.2015511211103176E-3</v>
      </c>
      <c r="E23" s="177" cm="1">
        <f t="array" ref="E23">IFERROR(INDEX(Table2B.3_AQ_Dif[[#Headers],[#Data],[Year]:[VOC]],MATCH(Table2.1_EmRed[[#This Row],[Year]:[Year]],Table2B.3_AQ_Dif[[#Headers],[#Data],[Year]:[Year]],0),MATCH(Table2.1_EmRed[[#Headers],[PM2.5]],Table2B.3_AQ_Dif[[#Headers],[Year]:[VOC]],0)),"")</f>
        <v>0.35227352051652261</v>
      </c>
      <c r="F23" s="177" cm="1">
        <f t="array" ref="F23">IFERROR(INDEX(Table2B.3_AQ_Dif[[#Headers],[#Data],[Year]:[VOC]],MATCH(Table2.1_EmRed[[#This Row],[Year]:[Year]],Table2B.3_AQ_Dif[[#Headers],[#Data],[Year]:[Year]],0),MATCH(Table2.1_EmRed[[#Headers],[CO2]],Table2B.3_AQ_Dif[[#Headers],[Year]:[VOC]],0)),"")</f>
        <v>1356.7370815763134</v>
      </c>
      <c r="G23" s="177" cm="1">
        <f t="array" ref="G23">IFERROR(INDEX(Table2B.3_AQ_Dif[[#Headers],[#Data],[Year]:[VOC]],MATCH(Table2.1_EmRed[[#This Row],[Year]:[Year]],Table2B.3_AQ_Dif[[#Headers],[#Data],[Year]:[Year]],0),MATCH(Table2.1_EmRed[[#Headers],[PM10]],Table2B.3_AQ_Dif[[#Headers],[Year]:[VOC]],0)),"")</f>
        <v>2.8069446792919646</v>
      </c>
      <c r="H23" s="177" cm="1">
        <f t="array" ref="H23">IFERROR(INDEX(Table2B.3_AQ_Dif[[#Headers],[#Data],[Year]:[VOC]],MATCH(Table2.1_EmRed[[#This Row],[Year]:[Year]],Table2B.3_AQ_Dif[[#Headers],[#Data],[Year]:[Year]],0),MATCH(Table2.1_EmRed[[#Headers],[VOC]],Table2B.3_AQ_Dif[[#Headers],[Year]:[VOC]],0)),"")</f>
        <v>1.1474971403738508</v>
      </c>
      <c r="I23" s="177">
        <f>SUM(Table2.1_EmRed[[#This Row],[NOX]:[VOC]])</f>
        <v>1363.0650132037506</v>
      </c>
    </row>
    <row r="24" spans="2:9">
      <c r="B24" s="122" t="s">
        <v>127</v>
      </c>
      <c r="C24" s="153">
        <f>AVERAGE('MM_2B. Emissions Backup'!C104:C134)</f>
        <v>1.0843198021034184</v>
      </c>
      <c r="D24" s="153">
        <f>AVERAGE('MM_2B. Emissions Backup'!D104:D134)</f>
        <v>4.4057018849007696E-3</v>
      </c>
      <c r="E24" s="153">
        <f>AVERAGE('MM_2B. Emissions Backup'!E104:E134)</f>
        <v>0.18399323865908154</v>
      </c>
      <c r="F24" s="153">
        <f>AVERAGE('MM_2B. Emissions Backup'!F104:F134)</f>
        <v>728.76030963263804</v>
      </c>
      <c r="G24" s="153">
        <f>AVERAGE('MM_2B. Emissions Backup'!G104:G134)</f>
        <v>1.4520439939443921</v>
      </c>
      <c r="H24" s="153">
        <f>AVERAGE('MM_2B. Emissions Backup'!H104:H134)</f>
        <v>0.60239416459143047</v>
      </c>
      <c r="I24" s="125">
        <f>AVERAGE('MM_2B. Emissions Backup'!I104:I134)</f>
        <v>732.08746653382127</v>
      </c>
    </row>
    <row r="25" spans="2:9">
      <c r="B25" s="81"/>
      <c r="C25" s="81"/>
      <c r="D25" s="81"/>
      <c r="E25" s="81"/>
      <c r="F25" s="81"/>
      <c r="G25" s="81"/>
      <c r="H25" s="81"/>
      <c r="I25" s="81"/>
    </row>
    <row r="26" spans="2:9">
      <c r="B26" s="71" t="s">
        <v>128</v>
      </c>
      <c r="C26" s="81"/>
      <c r="D26" s="81"/>
      <c r="E26" s="81"/>
      <c r="F26" s="81"/>
      <c r="G26" s="81"/>
      <c r="H26" s="81"/>
      <c r="I26" s="81"/>
    </row>
    <row r="27" spans="2:9">
      <c r="B27" s="81"/>
      <c r="C27" s="81"/>
      <c r="D27" s="81"/>
      <c r="E27" s="81"/>
      <c r="F27" s="81"/>
      <c r="G27" s="81"/>
      <c r="H27" s="81"/>
      <c r="I27" s="81"/>
    </row>
    <row r="28" spans="2:9" ht="15.75">
      <c r="B28" s="122" t="s">
        <v>21</v>
      </c>
      <c r="C28" s="77" t="s">
        <v>121</v>
      </c>
      <c r="D28" s="77" t="s">
        <v>122</v>
      </c>
      <c r="E28" s="77" t="s">
        <v>123</v>
      </c>
      <c r="F28" s="77" t="s">
        <v>124</v>
      </c>
      <c r="G28" s="77" t="s">
        <v>125</v>
      </c>
      <c r="H28" s="77" t="s">
        <v>126</v>
      </c>
      <c r="I28" s="77" t="s">
        <v>28</v>
      </c>
    </row>
    <row r="29" spans="2:9">
      <c r="B29" s="122">
        <v>2028</v>
      </c>
      <c r="C29" s="175" cm="1">
        <f t="array" ref="C29">IFERROR(INDEX(Table2B.4_AQ_Dollars[[#Headers],[#Data],[Year]:[VOC]],MATCH(Table2.2_EmMoney[[#This Row],[Year]:[Year]],Table2B.4_AQ_Dollars[[#Headers],[#Data],[Year]:[Year]],0),MATCH(Table2.2_EmMoney[[#Headers],[NOX]],Table2B.4_AQ_Dollars[[#Headers],[Year]:[VOC]],0)),"")</f>
        <v>2785.6851385047548</v>
      </c>
      <c r="D29" s="175" cm="1">
        <f t="array" ref="D29">IFERROR(INDEX(Table2B.4_AQ_Dollars[[#Headers],[#Data],[Year]:[VOC]],MATCH(Table2.2_EmMoney[[#This Row],[Year]:[Year]],Table2B.4_AQ_Dollars[[#Headers],[#Data],[Year]:[Year]],0),MATCH(Table2.2_EmMoney[[#Headers],[SOx]],Table2B.4_AQ_Dollars[[#Headers],[Year]:[VOC]],0)),"")</f>
        <v>29.699823991292817</v>
      </c>
      <c r="E29" s="175" cm="1">
        <f t="array" ref="E29">IFERROR(INDEX(Table2B.4_AQ_Dollars[[#Headers],[#Data],[Year]:[VOC]],MATCH(Table2.2_EmMoney[[#This Row],[Year]:[Year]],Table2B.4_AQ_Dollars[[#Headers],[#Data],[Year]:[Year]],0),MATCH(Table2.2_EmMoney[[#Headers],[PM2.5]],Table2B.4_AQ_Dollars[[#Headers],[Year]:[VOC]],0)),"")</f>
        <v>13601.135407502543</v>
      </c>
      <c r="F29" s="175" cm="1">
        <f t="array" ref="F29">IFERROR(INDEX(Table2B.4_AQ_Dollars[[#Headers],[#Data],[Year]:[VOC]],MATCH(Table2.2_EmMoney[[#This Row],[Year]:[Year]],Table2B.4_AQ_Dollars[[#Headers],[#Data],[Year]:[Year]],0),MATCH(Table2.2_EmMoney[[#Headers],[CO2]],Table2B.4_AQ_Dollars[[#Headers],[Year]:[VOC]],0)),"")</f>
        <v>6147.7957990325376</v>
      </c>
      <c r="G29" s="175" cm="1">
        <f t="array" ref="G29">IFERROR(INDEX(Table2B.4_AQ_Dollars[[#Headers],[#Data],[Year]:[VOC]],MATCH(Table2.2_EmMoney[[#This Row],[Year]:[Year]],Table2B.4_AQ_Dollars[[#Headers],[#Data],[Year]:[Year]],0),MATCH(Table2.2_EmMoney[[#Headers],[PM10]],Table2B.4_AQ_Dollars[[#Headers],[Year]:[VOC]],0)),"")</f>
        <v>0</v>
      </c>
      <c r="H29" s="175" cm="1">
        <f t="array" ref="H29">IFERROR(INDEX(Table2B.4_AQ_Dollars[[#Headers],[#Data],[Year]:[VOC]],MATCH(Table2.2_EmMoney[[#This Row],[Year]:[Year]],Table2B.4_AQ_Dollars[[#Headers],[#Data],[Year]:[Year]],0),MATCH(Table2.2_EmMoney[[#Headers],[VOC]],Table2B.4_AQ_Dollars[[#Headers],[Year]:[VOC]],0)),"")</f>
        <v>0</v>
      </c>
      <c r="I29" s="175">
        <f>SUM(Table2.2_EmMoney[[#This Row],[NOX]:[VOC]])</f>
        <v>22564.316169031128</v>
      </c>
    </row>
    <row r="30" spans="2:9">
      <c r="B30" s="122">
        <v>2029</v>
      </c>
      <c r="C30" s="175" cm="1">
        <f t="array" ref="C30">IFERROR(INDEX(Table2B.4_AQ_Dollars[[#Headers],[#Data],[Year]:[VOC]],MATCH(Table2.2_EmMoney[[#This Row],[Year]:[Year]],Table2B.4_AQ_Dollars[[#Headers],[#Data],[Year]:[Year]],0),MATCH(Table2.2_EmMoney[[#Headers],[NOX]],Table2B.4_AQ_Dollars[[#Headers],[Year]:[VOC]],0)),"")</f>
        <v>3959.1891188836753</v>
      </c>
      <c r="D30" s="175" cm="1">
        <f t="array" ref="D30">IFERROR(INDEX(Table2B.4_AQ_Dollars[[#Headers],[#Data],[Year]:[VOC]],MATCH(Table2.2_EmMoney[[#This Row],[Year]:[Year]],Table2B.4_AQ_Dollars[[#Headers],[#Data],[Year]:[Year]],0),MATCH(Table2.2_EmMoney[[#Headers],[SOx]],Table2B.4_AQ_Dollars[[#Headers],[Year]:[VOC]],0)),"")</f>
        <v>42.714008589735677</v>
      </c>
      <c r="E30" s="175" cm="1">
        <f t="array" ref="E30">IFERROR(INDEX(Table2B.4_AQ_Dollars[[#Headers],[#Data],[Year]:[VOC]],MATCH(Table2.2_EmMoney[[#This Row],[Year]:[Year]],Table2B.4_AQ_Dollars[[#Headers],[#Data],[Year]:[Year]],0),MATCH(Table2.2_EmMoney[[#Headers],[PM2.5]],Table2B.4_AQ_Dollars[[#Headers],[Year]:[VOC]],0)),"")</f>
        <v>23683.686202393958</v>
      </c>
      <c r="F30" s="175" cm="1">
        <f t="array" ref="F30">IFERROR(INDEX(Table2B.4_AQ_Dollars[[#Headers],[#Data],[Year]:[VOC]],MATCH(Table2.2_EmMoney[[#This Row],[Year]:[Year]],Table2B.4_AQ_Dollars[[#Headers],[#Data],[Year]:[Year]],0),MATCH(Table2.2_EmMoney[[#Headers],[CO2]],Table2B.4_AQ_Dollars[[#Headers],[Year]:[VOC]],0)),"")</f>
        <v>8844.2166607550462</v>
      </c>
      <c r="G30" s="175" cm="1">
        <f t="array" ref="G30">IFERROR(INDEX(Table2B.4_AQ_Dollars[[#Headers],[#Data],[Year]:[VOC]],MATCH(Table2.2_EmMoney[[#This Row],[Year]:[Year]],Table2B.4_AQ_Dollars[[#Headers],[#Data],[Year]:[Year]],0),MATCH(Table2.2_EmMoney[[#Headers],[PM10]],Table2B.4_AQ_Dollars[[#Headers],[Year]:[VOC]],0)),"")</f>
        <v>0</v>
      </c>
      <c r="H30" s="175" cm="1">
        <f t="array" ref="H30">IFERROR(INDEX(Table2B.4_AQ_Dollars[[#Headers],[#Data],[Year]:[VOC]],MATCH(Table2.2_EmMoney[[#This Row],[Year]:[Year]],Table2B.4_AQ_Dollars[[#Headers],[#Data],[Year]:[Year]],0),MATCH(Table2.2_EmMoney[[#Headers],[VOC]],Table2B.4_AQ_Dollars[[#Headers],[Year]:[VOC]],0)),"")</f>
        <v>0</v>
      </c>
      <c r="I30" s="175">
        <f>SUM(Table2.2_EmMoney[[#This Row],[NOX]:[VOC]])</f>
        <v>36529.805990622415</v>
      </c>
    </row>
    <row r="31" spans="2:9">
      <c r="B31" s="122">
        <v>2030</v>
      </c>
      <c r="C31" s="175" cm="1">
        <f t="array" ref="C31">IFERROR(INDEX(Table2B.4_AQ_Dollars[[#Headers],[#Data],[Year]:[VOC]],MATCH(Table2.2_EmMoney[[#This Row],[Year]:[Year]],Table2B.4_AQ_Dollars[[#Headers],[#Data],[Year]:[Year]],0),MATCH(Table2.2_EmMoney[[#Headers],[NOX]],Table2B.4_AQ_Dollars[[#Headers],[Year]:[VOC]],0)),"")</f>
        <v>5197.7859825515143</v>
      </c>
      <c r="D31" s="175" cm="1">
        <f t="array" ref="D31">IFERROR(INDEX(Table2B.4_AQ_Dollars[[#Headers],[#Data],[Year]:[VOC]],MATCH(Table2.2_EmMoney[[#This Row],[Year]:[Year]],Table2B.4_AQ_Dollars[[#Headers],[#Data],[Year]:[Year]],0),MATCH(Table2.2_EmMoney[[#Headers],[SOx]],Table2B.4_AQ_Dollars[[#Headers],[Year]:[VOC]],0)),"")</f>
        <v>56.244680361392781</v>
      </c>
      <c r="E31" s="175" cm="1">
        <f t="array" ref="E31">IFERROR(INDEX(Table2B.4_AQ_Dollars[[#Headers],[#Data],[Year]:[VOC]],MATCH(Table2.2_EmMoney[[#This Row],[Year]:[Year]],Table2B.4_AQ_Dollars[[#Headers],[#Data],[Year]:[Year]],0),MATCH(Table2.2_EmMoney[[#Headers],[PM2.5]],Table2B.4_AQ_Dollars[[#Headers],[Year]:[VOC]],0)),"")</f>
        <v>34083.502781446252</v>
      </c>
      <c r="F31" s="175" cm="1">
        <f t="array" ref="F31">IFERROR(INDEX(Table2B.4_AQ_Dollars[[#Headers],[#Data],[Year]:[VOC]],MATCH(Table2.2_EmMoney[[#This Row],[Year]:[Year]],Table2B.4_AQ_Dollars[[#Headers],[#Data],[Year]:[Year]],0),MATCH(Table2.2_EmMoney[[#Headers],[CO2]],Table2B.4_AQ_Dollars[[#Headers],[Year]:[VOC]],0)),"")</f>
        <v>11624.367758736698</v>
      </c>
      <c r="G31" s="175" cm="1">
        <f t="array" ref="G31">IFERROR(INDEX(Table2B.4_AQ_Dollars[[#Headers],[#Data],[Year]:[VOC]],MATCH(Table2.2_EmMoney[[#This Row],[Year]:[Year]],Table2B.4_AQ_Dollars[[#Headers],[#Data],[Year]:[Year]],0),MATCH(Table2.2_EmMoney[[#Headers],[PM10]],Table2B.4_AQ_Dollars[[#Headers],[Year]:[VOC]],0)),"")</f>
        <v>0</v>
      </c>
      <c r="H31" s="175" cm="1">
        <f t="array" ref="H31">IFERROR(INDEX(Table2B.4_AQ_Dollars[[#Headers],[#Data],[Year]:[VOC]],MATCH(Table2.2_EmMoney[[#This Row],[Year]:[Year]],Table2B.4_AQ_Dollars[[#Headers],[#Data],[Year]:[Year]],0),MATCH(Table2.2_EmMoney[[#Headers],[VOC]],Table2B.4_AQ_Dollars[[#Headers],[Year]:[VOC]],0)),"")</f>
        <v>0</v>
      </c>
      <c r="I31" s="175">
        <f>SUM(Table2.2_EmMoney[[#This Row],[NOX]:[VOC]])</f>
        <v>50961.901203095855</v>
      </c>
    </row>
    <row r="32" spans="2:9">
      <c r="B32" s="122">
        <v>2031</v>
      </c>
      <c r="C32" s="175" cm="1">
        <f t="array" ref="C32">IFERROR(INDEX(Table2B.4_AQ_Dollars[[#Headers],[#Data],[Year]:[VOC]],MATCH(Table2.2_EmMoney[[#This Row],[Year]:[Year]],Table2B.4_AQ_Dollars[[#Headers],[#Data],[Year]:[Year]],0),MATCH(Table2.2_EmMoney[[#Headers],[NOX]],Table2B.4_AQ_Dollars[[#Headers],[Year]:[VOC]],0)),"")</f>
        <v>6451.7768572130808</v>
      </c>
      <c r="D32" s="175" cm="1">
        <f t="array" ref="D32">IFERROR(INDEX(Table2B.4_AQ_Dollars[[#Headers],[#Data],[Year]:[VOC]],MATCH(Table2.2_EmMoney[[#This Row],[Year]:[Year]],Table2B.4_AQ_Dollars[[#Headers],[#Data],[Year]:[Year]],0),MATCH(Table2.2_EmMoney[[#Headers],[SOx]],Table2B.4_AQ_Dollars[[#Headers],[Year]:[VOC]],0)),"")</f>
        <v>70.230854041394963</v>
      </c>
      <c r="E32" s="175" cm="1">
        <f t="array" ref="E32">IFERROR(INDEX(Table2B.4_AQ_Dollars[[#Headers],[#Data],[Year]:[VOC]],MATCH(Table2.2_EmMoney[[#This Row],[Year]:[Year]],Table2B.4_AQ_Dollars[[#Headers],[#Data],[Year]:[Year]],0),MATCH(Table2.2_EmMoney[[#Headers],[PM2.5]],Table2B.4_AQ_Dollars[[#Headers],[Year]:[VOC]],0)),"")</f>
        <v>44807.316355933719</v>
      </c>
      <c r="F32" s="175" cm="1">
        <f t="array" ref="F32">IFERROR(INDEX(Table2B.4_AQ_Dollars[[#Headers],[#Data],[Year]:[VOC]],MATCH(Table2.2_EmMoney[[#This Row],[Year]:[Year]],Table2B.4_AQ_Dollars[[#Headers],[#Data],[Year]:[Year]],0),MATCH(Table2.2_EmMoney[[#Headers],[CO2]],Table2B.4_AQ_Dollars[[#Headers],[Year]:[VOC]],0)),"")</f>
        <v>14714.627985055267</v>
      </c>
      <c r="G32" s="175" cm="1">
        <f t="array" ref="G32">IFERROR(INDEX(Table2B.4_AQ_Dollars[[#Headers],[#Data],[Year]:[VOC]],MATCH(Table2.2_EmMoney[[#This Row],[Year]:[Year]],Table2B.4_AQ_Dollars[[#Headers],[#Data],[Year]:[Year]],0),MATCH(Table2.2_EmMoney[[#Headers],[PM10]],Table2B.4_AQ_Dollars[[#Headers],[Year]:[VOC]],0)),"")</f>
        <v>0</v>
      </c>
      <c r="H32" s="175" cm="1">
        <f t="array" ref="H32">IFERROR(INDEX(Table2B.4_AQ_Dollars[[#Headers],[#Data],[Year]:[VOC]],MATCH(Table2.2_EmMoney[[#This Row],[Year]:[Year]],Table2B.4_AQ_Dollars[[#Headers],[#Data],[Year]:[Year]],0),MATCH(Table2.2_EmMoney[[#Headers],[VOC]],Table2B.4_AQ_Dollars[[#Headers],[Year]:[VOC]],0)),"")</f>
        <v>0</v>
      </c>
      <c r="I32" s="175">
        <f>SUM(Table2.2_EmMoney[[#This Row],[NOX]:[VOC]])</f>
        <v>66043.952052243461</v>
      </c>
    </row>
    <row r="33" spans="2:9">
      <c r="B33" s="122">
        <v>2032</v>
      </c>
      <c r="C33" s="175" cm="1">
        <f t="array" ref="C33">IFERROR(INDEX(Table2B.4_AQ_Dollars[[#Headers],[#Data],[Year]:[VOC]],MATCH(Table2.2_EmMoney[[#This Row],[Year]:[Year]],Table2B.4_AQ_Dollars[[#Headers],[#Data],[Year]:[Year]],0),MATCH(Table2.2_EmMoney[[#Headers],[NOX]],Table2B.4_AQ_Dollars[[#Headers],[Year]:[VOC]],0)),"")</f>
        <v>7621.9324740915599</v>
      </c>
      <c r="D33" s="175" cm="1">
        <f t="array" ref="D33">IFERROR(INDEX(Table2B.4_AQ_Dollars[[#Headers],[#Data],[Year]:[VOC]],MATCH(Table2.2_EmMoney[[#This Row],[Year]:[Year]],Table2B.4_AQ_Dollars[[#Headers],[#Data],[Year]:[Year]],0),MATCH(Table2.2_EmMoney[[#Headers],[SOx]],Table2B.4_AQ_Dollars[[#Headers],[Year]:[VOC]],0)),"")</f>
        <v>83.212658429229407</v>
      </c>
      <c r="E33" s="175" cm="1">
        <f t="array" ref="E33">IFERROR(INDEX(Table2B.4_AQ_Dollars[[#Headers],[#Data],[Year]:[VOC]],MATCH(Table2.2_EmMoney[[#This Row],[Year]:[Year]],Table2B.4_AQ_Dollars[[#Headers],[#Data],[Year]:[Year]],0),MATCH(Table2.2_EmMoney[[#Headers],[PM2.5]],Table2B.4_AQ_Dollars[[#Headers],[Year]:[VOC]],0)),"")</f>
        <v>54989.39527685444</v>
      </c>
      <c r="F33" s="175" cm="1">
        <f t="array" ref="F33">IFERROR(INDEX(Table2B.4_AQ_Dollars[[#Headers],[#Data],[Year]:[VOC]],MATCH(Table2.2_EmMoney[[#This Row],[Year]:[Year]],Table2B.4_AQ_Dollars[[#Headers],[#Data],[Year]:[Year]],0),MATCH(Table2.2_EmMoney[[#Headers],[CO2]],Table2B.4_AQ_Dollars[[#Headers],[Year]:[VOC]],0)),"")</f>
        <v>17704.104673684778</v>
      </c>
      <c r="G33" s="175" cm="1">
        <f t="array" ref="G33">IFERROR(INDEX(Table2B.4_AQ_Dollars[[#Headers],[#Data],[Year]:[VOC]],MATCH(Table2.2_EmMoney[[#This Row],[Year]:[Year]],Table2B.4_AQ_Dollars[[#Headers],[#Data],[Year]:[Year]],0),MATCH(Table2.2_EmMoney[[#Headers],[PM10]],Table2B.4_AQ_Dollars[[#Headers],[Year]:[VOC]],0)),"")</f>
        <v>0</v>
      </c>
      <c r="H33" s="175" cm="1">
        <f t="array" ref="H33">IFERROR(INDEX(Table2B.4_AQ_Dollars[[#Headers],[#Data],[Year]:[VOC]],MATCH(Table2.2_EmMoney[[#This Row],[Year]:[Year]],Table2B.4_AQ_Dollars[[#Headers],[#Data],[Year]:[Year]],0),MATCH(Table2.2_EmMoney[[#Headers],[VOC]],Table2B.4_AQ_Dollars[[#Headers],[Year]:[VOC]],0)),"")</f>
        <v>0</v>
      </c>
      <c r="I33" s="175">
        <f>SUM(Table2.2_EmMoney[[#This Row],[NOX]:[VOC]])</f>
        <v>80398.645083060008</v>
      </c>
    </row>
    <row r="34" spans="2:9">
      <c r="B34" s="128"/>
      <c r="C34" s="200" t="str" cm="1">
        <f t="array" ref="C34">IFERROR(INDEX(Table2B.4_AQ_Dollars[[#Headers],[#Data],[Year]:[VOC]],MATCH(Table2.2_EmMoney[[#This Row],[Year]:[Year]],Table2B.4_AQ_Dollars[[#Headers],[#Data],[Year]:[Year]],0),MATCH(Table2.2_EmMoney[[#Headers],[NOX]],Table2B.4_AQ_Dollars[[#Headers],[Year]:[VOC]],0)),"")</f>
        <v/>
      </c>
      <c r="D34" s="200" t="str" cm="1">
        <f t="array" ref="D34">IFERROR(INDEX(Table2B.4_AQ_Dollars[[#Headers],[#Data],[Year]:[VOC]],MATCH(Table2.2_EmMoney[[#This Row],[Year]:[Year]],Table2B.4_AQ_Dollars[[#Headers],[#Data],[Year]:[Year]],0),MATCH(Table2.2_EmMoney[[#Headers],[SOx]],Table2B.4_AQ_Dollars[[#Headers],[Year]:[VOC]],0)),"")</f>
        <v/>
      </c>
      <c r="E34" s="200" t="str" cm="1">
        <f t="array" ref="E34">IFERROR(INDEX(Table2B.4_AQ_Dollars[[#Headers],[#Data],[Year]:[VOC]],MATCH(Table2.2_EmMoney[[#This Row],[Year]:[Year]],Table2B.4_AQ_Dollars[[#Headers],[#Data],[Year]:[Year]],0),MATCH(Table2.2_EmMoney[[#Headers],[PM2.5]],Table2B.4_AQ_Dollars[[#Headers],[Year]:[VOC]],0)),"")</f>
        <v/>
      </c>
      <c r="F34" s="200" t="str" cm="1">
        <f t="array" ref="F34">IFERROR(INDEX(Table2B.4_AQ_Dollars[[#Headers],[#Data],[Year]:[VOC]],MATCH(Table2.2_EmMoney[[#This Row],[Year]:[Year]],Table2B.4_AQ_Dollars[[#Headers],[#Data],[Year]:[Year]],0),MATCH(Table2.2_EmMoney[[#Headers],[CO2]],Table2B.4_AQ_Dollars[[#Headers],[Year]:[VOC]],0)),"")</f>
        <v/>
      </c>
      <c r="G34" s="200" t="str" cm="1">
        <f t="array" ref="G34">IFERROR(INDEX(Table2B.4_AQ_Dollars[[#Headers],[#Data],[Year]:[VOC]],MATCH(Table2.2_EmMoney[[#This Row],[Year]:[Year]],Table2B.4_AQ_Dollars[[#Headers],[#Data],[Year]:[Year]],0),MATCH(Table2.2_EmMoney[[#Headers],[PM10]],Table2B.4_AQ_Dollars[[#Headers],[Year]:[VOC]],0)),"")</f>
        <v/>
      </c>
      <c r="H34" s="200" t="str" cm="1">
        <f t="array" ref="H34">IFERROR(INDEX(Table2B.4_AQ_Dollars[[#Headers],[#Data],[Year]:[VOC]],MATCH(Table2.2_EmMoney[[#This Row],[Year]:[Year]],Table2B.4_AQ_Dollars[[#Headers],[#Data],[Year]:[Year]],0),MATCH(Table2.2_EmMoney[[#Headers],[VOC]],Table2B.4_AQ_Dollars[[#Headers],[Year]:[VOC]],0)),"")</f>
        <v/>
      </c>
      <c r="I34" s="129"/>
    </row>
    <row r="35" spans="2:9">
      <c r="B35" s="122">
        <v>2058</v>
      </c>
      <c r="C35" s="175" cm="1">
        <f t="array" ref="C35">IFERROR(INDEX(Table2B.4_AQ_Dollars[[#Headers],[#Data],[Year]:[VOC]],MATCH(Table2.2_EmMoney[[#This Row],[Year]:[Year]],Table2B.4_AQ_Dollars[[#Headers],[#Data],[Year]:[Year]],0),MATCH(Table2.2_EmMoney[[#Headers],[NOX]],Table2B.4_AQ_Dollars[[#Headers],[Year]:[VOC]],0)),"")</f>
        <v>38045.978512929178</v>
      </c>
      <c r="D35" s="175" cm="1">
        <f t="array" ref="D35">IFERROR(INDEX(Table2B.4_AQ_Dollars[[#Headers],[#Data],[Year]:[VOC]],MATCH(Table2.2_EmMoney[[#This Row],[Year]:[Year]],Table2B.4_AQ_Dollars[[#Headers],[#Data],[Year]:[Year]],0),MATCH(Table2.2_EmMoney[[#Headers],[SOx]],Table2B.4_AQ_Dollars[[#Headers],[Year]:[VOC]],0)),"")</f>
        <v>420.73957251295928</v>
      </c>
      <c r="E35" s="175" cm="1">
        <f t="array" ref="E35">IFERROR(INDEX(Table2B.4_AQ_Dollars[[#Headers],[#Data],[Year]:[VOC]],MATCH(Table2.2_EmMoney[[#This Row],[Year]:[Year]],Table2B.4_AQ_Dollars[[#Headers],[#Data],[Year]:[Year]],0),MATCH(Table2.2_EmMoney[[#Headers],[PM2.5]],Table2B.4_AQ_Dollars[[#Headers],[Year]:[VOC]],0)),"")</f>
        <v>319723.4472207959</v>
      </c>
      <c r="F35" s="175" cm="1">
        <f t="array" ref="F35">IFERROR(INDEX(Table2B.4_AQ_Dollars[[#Headers],[#Data],[Year]:[VOC]],MATCH(Table2.2_EmMoney[[#This Row],[Year]:[Year]],Table2B.4_AQ_Dollars[[#Headers],[#Data],[Year]:[Year]],0),MATCH(Table2.2_EmMoney[[#Headers],[CO2]],Table2B.4_AQ_Dollars[[#Headers],[Year]:[VOC]],0)),"")</f>
        <v>119392.86317871558</v>
      </c>
      <c r="G35" s="175" cm="1">
        <f t="array" ref="G35">IFERROR(INDEX(Table2B.4_AQ_Dollars[[#Headers],[#Data],[Year]:[VOC]],MATCH(Table2.2_EmMoney[[#This Row],[Year]:[Year]],Table2B.4_AQ_Dollars[[#Headers],[#Data],[Year]:[Year]],0),MATCH(Table2.2_EmMoney[[#Headers],[PM10]],Table2B.4_AQ_Dollars[[#Headers],[Year]:[VOC]],0)),"")</f>
        <v>0</v>
      </c>
      <c r="H35" s="175" cm="1">
        <f t="array" ref="H35">IFERROR(INDEX(Table2B.4_AQ_Dollars[[#Headers],[#Data],[Year]:[VOC]],MATCH(Table2.2_EmMoney[[#This Row],[Year]:[Year]],Table2B.4_AQ_Dollars[[#Headers],[#Data],[Year]:[Year]],0),MATCH(Table2.2_EmMoney[[#Headers],[VOC]],Table2B.4_AQ_Dollars[[#Headers],[Year]:[VOC]],0)),"")</f>
        <v>0</v>
      </c>
      <c r="I35" s="175">
        <f>SUM(Table2.2_EmMoney[[#This Row],[NOX]:[VOC]])</f>
        <v>477583.02848495363</v>
      </c>
    </row>
    <row r="36" spans="2:9">
      <c r="B36" s="122" t="s">
        <v>127</v>
      </c>
      <c r="C36" s="126">
        <f>AVERAGE('MM_2B. Emissions Backup'!C146:C175)</f>
        <v>21070.851676115322</v>
      </c>
      <c r="D36" s="126">
        <f>AVERAGE('MM_2B. Emissions Backup'!D146:D175)</f>
        <v>232.41815535705479</v>
      </c>
      <c r="E36" s="126">
        <f>AVERAGE('MM_2B. Emissions Backup'!E146:E175)</f>
        <v>172039.92930193394</v>
      </c>
      <c r="F36" s="126">
        <f>AVERAGE('MM_2B. Emissions Backup'!F146:F175)</f>
        <v>61740.747120978725</v>
      </c>
      <c r="G36" s="126">
        <f>AVERAGE('MM_2B. Emissions Backup'!G146:G175)</f>
        <v>0</v>
      </c>
      <c r="H36" s="126">
        <f>AVERAGE('MM_2B. Emissions Backup'!H146:H175)</f>
        <v>0</v>
      </c>
      <c r="I36" s="105">
        <f>AVERAGE('MM_2B. Emissions Backup'!I146:I175)</f>
        <v>255083.94625438505</v>
      </c>
    </row>
    <row r="37" spans="2:9">
      <c r="B37" s="81"/>
      <c r="C37" s="81"/>
      <c r="D37" s="81"/>
      <c r="E37" s="81"/>
      <c r="F37" s="81"/>
      <c r="G37" s="81"/>
      <c r="H37" s="81"/>
      <c r="I37" s="81"/>
    </row>
    <row r="38" spans="2:9">
      <c r="B38" s="71" t="s">
        <v>129</v>
      </c>
      <c r="C38" s="81"/>
      <c r="D38" s="81"/>
      <c r="E38" s="81"/>
      <c r="F38" s="81"/>
      <c r="G38" s="81"/>
      <c r="H38" s="81"/>
      <c r="I38" s="81"/>
    </row>
    <row r="39" spans="2:9">
      <c r="I39" s="82"/>
    </row>
    <row r="40" spans="2:9">
      <c r="B40" s="77" t="s">
        <v>21</v>
      </c>
      <c r="C40" s="77" t="s">
        <v>130</v>
      </c>
      <c r="D40" s="77" t="s">
        <v>122</v>
      </c>
      <c r="E40" s="77" t="s">
        <v>131</v>
      </c>
      <c r="F40" s="77" t="s">
        <v>132</v>
      </c>
      <c r="G40" s="77" t="s">
        <v>133</v>
      </c>
      <c r="H40" s="77" t="s">
        <v>126</v>
      </c>
      <c r="I40" s="112" t="s">
        <v>96</v>
      </c>
    </row>
    <row r="41" spans="2:9">
      <c r="B41" s="77" t="s">
        <v>134</v>
      </c>
      <c r="C41" s="264">
        <f>Table2B.4_AQ_Dollars[[#Totals],[NOX]]</f>
        <v>634911.23542196443</v>
      </c>
      <c r="D41" s="264">
        <f>Table2B.4_AQ_Dollars[[#Totals],[SOx]]</f>
        <v>7002.2444847029365</v>
      </c>
      <c r="E41" s="264">
        <f>Table2B.4_AQ_Dollars[[#Totals],[PM2.5]]</f>
        <v>5174799.0144655211</v>
      </c>
      <c r="F41" s="264">
        <f>Table2B.4_AQ_Dollars[[#Totals],[CO2]]</f>
        <v>1858370.209428394</v>
      </c>
      <c r="G41" s="264">
        <f>Table2B.4_AQ_Dollars[[#Totals],[PM10]]</f>
        <v>0</v>
      </c>
      <c r="H41" s="264">
        <f>Table2B.4_AQ_Dollars[[#Totals],[VOC]]</f>
        <v>0</v>
      </c>
      <c r="I41" s="264">
        <f>Table2B.4_AQ_Dollars[[#Totals],[Total]]</f>
        <v>7675082.7038005823</v>
      </c>
    </row>
    <row r="42" spans="2:9">
      <c r="I42" s="82"/>
    </row>
    <row r="43" spans="2:9">
      <c r="I43" s="97"/>
    </row>
    <row r="44" spans="2:9">
      <c r="I44" s="97"/>
    </row>
    <row r="46" spans="2:9">
      <c r="I46" s="96"/>
    </row>
    <row r="47" spans="2:9">
      <c r="I47" s="96"/>
    </row>
    <row r="48" spans="2:9">
      <c r="I48" s="96"/>
    </row>
    <row r="49" spans="9:9">
      <c r="I49" s="96"/>
    </row>
    <row r="50" spans="9:9">
      <c r="I50" s="96"/>
    </row>
    <row r="51" spans="9:9">
      <c r="I51" s="96"/>
    </row>
  </sheetData>
  <mergeCells count="2">
    <mergeCell ref="A1:I1"/>
    <mergeCell ref="A7:I11"/>
  </mergeCells>
  <phoneticPr fontId="25" type="noConversion"/>
  <pageMargins left="0.7" right="0.7" top="0.75" bottom="0.75" header="0.3" footer="0.3"/>
  <pageSetup paperSize="3" scale="72" orientation="landscape" r:id="rId1"/>
  <drawing r:id="rId2"/>
  <tableParts count="3">
    <tablePart r:id="rId3"/>
    <tablePart r:id="rId4"/>
    <tablePart r:id="rId5"/>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8BBF3-B8E6-4565-AD0E-165E24B1C384}">
  <sheetPr>
    <tabColor theme="0" tint="-0.249977111117893"/>
    <pageSetUpPr fitToPage="1"/>
  </sheetPr>
  <dimension ref="A1:I220"/>
  <sheetViews>
    <sheetView showGridLines="0" zoomScale="85" zoomScaleNormal="85" workbookViewId="0">
      <selection activeCell="K9" sqref="K9"/>
    </sheetView>
  </sheetViews>
  <sheetFormatPr defaultColWidth="9.140625" defaultRowHeight="12.75"/>
  <cols>
    <col min="1" max="1" width="21.7109375" style="67" customWidth="1"/>
    <col min="2" max="2" width="15.7109375" style="84" customWidth="1"/>
    <col min="3" max="3" width="15.7109375" style="67" customWidth="1"/>
    <col min="4" max="4" width="15.7109375" style="137" customWidth="1"/>
    <col min="5" max="8" width="15.7109375" style="67" customWidth="1"/>
    <col min="9" max="9" width="21.7109375" style="67" customWidth="1"/>
    <col min="10" max="13" width="20.7109375" style="67" customWidth="1"/>
    <col min="14" max="14" width="13.42578125" style="67" customWidth="1"/>
    <col min="15" max="15" width="14" style="67" customWidth="1"/>
    <col min="16" max="16" width="12.7109375" style="67" customWidth="1"/>
    <col min="17" max="16384" width="9.140625" style="67"/>
  </cols>
  <sheetData>
    <row r="1" spans="1:9" ht="15" customHeight="1">
      <c r="A1" s="499" t="s">
        <v>135</v>
      </c>
      <c r="B1" s="500"/>
      <c r="C1" s="500"/>
      <c r="D1" s="500"/>
      <c r="E1" s="500"/>
      <c r="F1" s="500"/>
      <c r="G1" s="500"/>
      <c r="H1" s="500"/>
      <c r="I1" s="500"/>
    </row>
    <row r="2" spans="1:9" ht="15" customHeight="1">
      <c r="A2" s="99" t="s">
        <v>1</v>
      </c>
      <c r="B2" s="71" t="str">
        <f>Project_Name</f>
        <v>Completing the I-95 Missing Move and Quonset Connector Ramps</v>
      </c>
      <c r="C2" s="81"/>
      <c r="D2" s="81"/>
      <c r="E2" s="81"/>
      <c r="F2" s="81"/>
      <c r="G2" s="81"/>
      <c r="H2" s="81"/>
      <c r="I2" s="81"/>
    </row>
    <row r="3" spans="1:9" ht="15" customHeight="1">
      <c r="A3" s="99" t="s">
        <v>2</v>
      </c>
      <c r="B3" s="71" t="s">
        <v>29</v>
      </c>
      <c r="C3" s="81"/>
      <c r="D3" s="81"/>
      <c r="E3" s="81"/>
      <c r="F3" s="81"/>
      <c r="G3" s="81"/>
      <c r="H3" s="81"/>
      <c r="I3" s="81"/>
    </row>
    <row r="4" spans="1:9" ht="15" customHeight="1">
      <c r="A4" s="99" t="s">
        <v>4</v>
      </c>
      <c r="B4" s="100">
        <f>Date</f>
        <v>45159</v>
      </c>
      <c r="C4" s="81"/>
      <c r="D4" s="81"/>
      <c r="E4" s="81"/>
      <c r="F4" s="81"/>
      <c r="G4" s="81"/>
      <c r="H4" s="81"/>
      <c r="I4" s="81"/>
    </row>
    <row r="5" spans="1:9" ht="30" customHeight="1">
      <c r="A5" s="99"/>
      <c r="B5" s="101"/>
      <c r="C5" s="81"/>
      <c r="D5" s="81"/>
      <c r="E5" s="81"/>
      <c r="F5" s="81"/>
      <c r="G5" s="81"/>
      <c r="H5" s="81"/>
      <c r="I5" s="81"/>
    </row>
    <row r="6" spans="1:9">
      <c r="A6" s="99"/>
      <c r="B6" s="101"/>
      <c r="C6" s="81"/>
      <c r="D6" s="81"/>
      <c r="E6" s="81"/>
      <c r="F6" s="81"/>
      <c r="G6" s="81"/>
      <c r="H6" s="81"/>
      <c r="I6" s="81"/>
    </row>
    <row r="7" spans="1:9" ht="13.5" thickBot="1">
      <c r="A7" s="99"/>
      <c r="B7" s="101"/>
      <c r="C7" s="81"/>
      <c r="D7" s="81"/>
      <c r="E7" s="81"/>
      <c r="F7" s="81"/>
      <c r="G7" s="81"/>
      <c r="H7" s="81"/>
      <c r="I7" s="81"/>
    </row>
    <row r="8" spans="1:9" s="81" customFormat="1" ht="81" customHeight="1" thickBot="1">
      <c r="A8" s="102" t="s">
        <v>99</v>
      </c>
      <c r="B8" s="489" t="s">
        <v>136</v>
      </c>
      <c r="C8" s="494"/>
      <c r="D8" s="494"/>
      <c r="E8" s="494"/>
      <c r="F8" s="494"/>
      <c r="G8" s="494"/>
      <c r="H8" s="494"/>
      <c r="I8" s="495"/>
    </row>
    <row r="9" spans="1:9" s="81" customFormat="1" ht="131.25" customHeight="1" thickBot="1">
      <c r="A9" s="102" t="s">
        <v>101</v>
      </c>
      <c r="B9" s="489" t="s">
        <v>137</v>
      </c>
      <c r="C9" s="494"/>
      <c r="D9" s="494"/>
      <c r="E9" s="494"/>
      <c r="F9" s="494"/>
      <c r="G9" s="494"/>
      <c r="H9" s="494"/>
      <c r="I9" s="495"/>
    </row>
    <row r="10" spans="1:9" s="81" customFormat="1" ht="83.25" customHeight="1" thickBot="1">
      <c r="A10" s="102" t="s">
        <v>103</v>
      </c>
      <c r="B10" s="489" t="s">
        <v>138</v>
      </c>
      <c r="C10" s="490"/>
      <c r="D10" s="490"/>
      <c r="E10" s="490"/>
      <c r="F10" s="490"/>
      <c r="G10" s="490"/>
      <c r="H10" s="490"/>
      <c r="I10" s="491"/>
    </row>
    <row r="11" spans="1:9" s="81" customFormat="1" ht="81.75" customHeight="1" thickBot="1">
      <c r="A11" s="102" t="s">
        <v>105</v>
      </c>
      <c r="B11" s="489" t="s">
        <v>139</v>
      </c>
      <c r="C11" s="490"/>
      <c r="D11" s="490"/>
      <c r="E11" s="490"/>
      <c r="F11" s="490"/>
      <c r="G11" s="490"/>
      <c r="H11" s="490"/>
      <c r="I11" s="491"/>
    </row>
    <row r="12" spans="1:9" s="81" customFormat="1" ht="75.75" customHeight="1" thickBot="1">
      <c r="A12" s="102" t="s">
        <v>107</v>
      </c>
      <c r="B12" s="489" t="s">
        <v>140</v>
      </c>
      <c r="C12" s="490"/>
      <c r="D12" s="490"/>
      <c r="E12" s="490"/>
      <c r="F12" s="490"/>
      <c r="G12" s="490"/>
      <c r="H12" s="490"/>
      <c r="I12" s="491"/>
    </row>
    <row r="14" spans="1:9">
      <c r="B14" s="63" t="s">
        <v>141</v>
      </c>
    </row>
    <row r="16" spans="1:9">
      <c r="B16" s="133" t="s">
        <v>21</v>
      </c>
      <c r="C16" s="145" t="s">
        <v>130</v>
      </c>
      <c r="D16" s="145" t="s">
        <v>122</v>
      </c>
      <c r="E16" s="145" t="s">
        <v>131</v>
      </c>
      <c r="F16" s="145" t="s">
        <v>132</v>
      </c>
      <c r="G16" s="145" t="s">
        <v>133</v>
      </c>
      <c r="H16" s="145" t="s">
        <v>126</v>
      </c>
      <c r="I16" s="145" t="s">
        <v>28</v>
      </c>
    </row>
    <row r="17" spans="2:9">
      <c r="B17" s="134">
        <f>First_Year+'Appendix B. Project Information'!B20</f>
        <v>2023</v>
      </c>
      <c r="C17" s="203"/>
      <c r="D17" s="203"/>
      <c r="E17" s="203"/>
      <c r="F17" s="203"/>
      <c r="G17" s="203"/>
      <c r="H17" s="203"/>
      <c r="I17" s="155">
        <f>SUM(Table2B.1_AQ_NB[[#This Row],[NOX]:[VOC]])</f>
        <v>0</v>
      </c>
    </row>
    <row r="18" spans="2:9">
      <c r="B18" s="134">
        <f>First_Year+'Appendix B. Project Information'!B21</f>
        <v>2024</v>
      </c>
      <c r="C18" s="203"/>
      <c r="D18" s="203"/>
      <c r="E18" s="203"/>
      <c r="F18" s="203"/>
      <c r="G18" s="203"/>
      <c r="H18" s="203"/>
      <c r="I18" s="155">
        <f>SUM(Table2B.1_AQ_NB[[#This Row],[NOX]:[VOC]])</f>
        <v>0</v>
      </c>
    </row>
    <row r="19" spans="2:9">
      <c r="B19" s="134">
        <f>First_Year+'Appendix B. Project Information'!B22</f>
        <v>2025</v>
      </c>
      <c r="C19" s="203"/>
      <c r="D19" s="203"/>
      <c r="E19" s="203"/>
      <c r="F19" s="203"/>
      <c r="G19" s="203"/>
      <c r="H19" s="203"/>
      <c r="I19" s="155">
        <f>SUM(Table2B.1_AQ_NB[[#This Row],[NOX]:[VOC]])</f>
        <v>0</v>
      </c>
    </row>
    <row r="20" spans="2:9">
      <c r="B20" s="134">
        <f>First_Year+'Appendix B. Project Information'!B23</f>
        <v>2026</v>
      </c>
      <c r="C20" s="203"/>
      <c r="D20" s="203"/>
      <c r="E20" s="203"/>
      <c r="F20" s="203"/>
      <c r="G20" s="203"/>
      <c r="H20" s="203"/>
      <c r="I20" s="155">
        <f>SUM(Table2B.1_AQ_NB[[#This Row],[NOX]:[VOC]])</f>
        <v>0</v>
      </c>
    </row>
    <row r="21" spans="2:9">
      <c r="B21" s="134">
        <f>First_Year+'Appendix B. Project Information'!B24</f>
        <v>2027</v>
      </c>
      <c r="C21" s="203"/>
      <c r="D21" s="203"/>
      <c r="E21" s="203"/>
      <c r="F21" s="203"/>
      <c r="G21" s="203"/>
      <c r="H21" s="203"/>
      <c r="I21" s="155">
        <f>SUM(Table2B.1_AQ_NB[[#This Row],[NOX]:[VOC]])</f>
        <v>0</v>
      </c>
    </row>
    <row r="22" spans="2:9">
      <c r="B22" s="134">
        <f>First_Year+'Appendix B. Project Information'!B25</f>
        <v>2028</v>
      </c>
      <c r="C22" s="203">
        <f>51.4311494207874/1.1015</f>
        <v>46.691919583102496</v>
      </c>
      <c r="D22" s="203">
        <f>0.611869513289362/1.1015</f>
        <v>0.5554875290870287</v>
      </c>
      <c r="E22" s="203">
        <f>2.54824829987336/1.1015</f>
        <v>2.3134346798668726</v>
      </c>
      <c r="F22" s="203">
        <f>98147.5162413084/1.1015</f>
        <v>89103.509978491522</v>
      </c>
      <c r="G22" s="203">
        <f>9.55060120918814/1.1015</f>
        <v>8.6705412702570488</v>
      </c>
      <c r="H22" s="203">
        <f>38.2391882377818/1.1015</f>
        <v>34.715558999347984</v>
      </c>
      <c r="I22" s="155">
        <f>SUM(Table2B.1_AQ_NB[[#This Row],[NOX]:[VOC]])</f>
        <v>89196.456920553188</v>
      </c>
    </row>
    <row r="23" spans="2:9">
      <c r="B23" s="134">
        <f>First_Year+'Appendix B. Project Information'!B26</f>
        <v>2029</v>
      </c>
      <c r="C23" s="177">
        <f>C22+((C$52-C$22)/30)</f>
        <v>46.063224613599019</v>
      </c>
      <c r="D23" s="177">
        <f t="shared" ref="D23:H23" si="0">D22+((D$52-D$22)/30)</f>
        <v>0.55455898663893843</v>
      </c>
      <c r="E23" s="177">
        <f t="shared" si="0"/>
        <v>2.3153963012941476</v>
      </c>
      <c r="F23" s="177">
        <f t="shared" si="0"/>
        <v>88974.778536015452</v>
      </c>
      <c r="G23" s="177">
        <f t="shared" si="0"/>
        <v>8.8533840418054215</v>
      </c>
      <c r="H23" s="177">
        <f t="shared" si="0"/>
        <v>34.542154112648461</v>
      </c>
      <c r="I23" s="155">
        <f>SUM(Table2B.1_AQ_NB[[#This Row],[NOX]:[VOC]])</f>
        <v>89067.107254071438</v>
      </c>
    </row>
    <row r="24" spans="2:9">
      <c r="B24" s="134">
        <f>First_Year+'Appendix B. Project Information'!B27</f>
        <v>2030</v>
      </c>
      <c r="C24" s="177">
        <f t="shared" ref="C24:C51" si="1">C23+((C$52-C$22)/30)</f>
        <v>45.434529644095541</v>
      </c>
      <c r="D24" s="177">
        <f t="shared" ref="D24:D51" si="2">D23+((D$52-D$22)/30)</f>
        <v>0.55363044419084817</v>
      </c>
      <c r="E24" s="177">
        <f t="shared" ref="E24:E51" si="3">E23+((E$52-E$22)/30)</f>
        <v>2.3173579227214227</v>
      </c>
      <c r="F24" s="177">
        <f t="shared" ref="F24:F51" si="4">F23+((F$52-F$22)/30)</f>
        <v>88846.047093539382</v>
      </c>
      <c r="G24" s="177">
        <f t="shared" ref="G24:G51" si="5">G23+((G$52-G$22)/30)</f>
        <v>9.0362268133537942</v>
      </c>
      <c r="H24" s="177">
        <f t="shared" ref="H24:H51" si="6">H23+((H$52-H$22)/30)</f>
        <v>34.368749225948939</v>
      </c>
      <c r="I24" s="155">
        <f>SUM(Table2B.1_AQ_NB[[#This Row],[NOX]:[VOC]])</f>
        <v>88937.757587589687</v>
      </c>
    </row>
    <row r="25" spans="2:9">
      <c r="B25" s="134">
        <f>First_Year+'Appendix B. Project Information'!B28</f>
        <v>2031</v>
      </c>
      <c r="C25" s="177">
        <f t="shared" si="1"/>
        <v>44.805834674592063</v>
      </c>
      <c r="D25" s="177">
        <f t="shared" si="2"/>
        <v>0.55270190174275791</v>
      </c>
      <c r="E25" s="177">
        <f t="shared" si="3"/>
        <v>2.3193195441486978</v>
      </c>
      <c r="F25" s="177">
        <f t="shared" si="4"/>
        <v>88717.315651063313</v>
      </c>
      <c r="G25" s="177">
        <f t="shared" si="5"/>
        <v>9.2190695849021669</v>
      </c>
      <c r="H25" s="177">
        <f t="shared" si="6"/>
        <v>34.195344339249417</v>
      </c>
      <c r="I25" s="155">
        <f>SUM(Table2B.1_AQ_NB[[#This Row],[NOX]:[VOC]])</f>
        <v>88808.407921107952</v>
      </c>
    </row>
    <row r="26" spans="2:9">
      <c r="B26" s="134">
        <f>First_Year+'Appendix B. Project Information'!B29</f>
        <v>2032</v>
      </c>
      <c r="C26" s="177">
        <f t="shared" si="1"/>
        <v>44.177139705088585</v>
      </c>
      <c r="D26" s="177">
        <f t="shared" si="2"/>
        <v>0.55177335929466764</v>
      </c>
      <c r="E26" s="177">
        <f t="shared" si="3"/>
        <v>2.3212811655759729</v>
      </c>
      <c r="F26" s="177">
        <f t="shared" si="4"/>
        <v>88588.584208587243</v>
      </c>
      <c r="G26" s="177">
        <f t="shared" si="5"/>
        <v>9.4019123564505396</v>
      </c>
      <c r="H26" s="177">
        <f t="shared" si="6"/>
        <v>34.021939452549894</v>
      </c>
      <c r="I26" s="155">
        <f>SUM(Table2B.1_AQ_NB[[#This Row],[NOX]:[VOC]])</f>
        <v>88679.058254626201</v>
      </c>
    </row>
    <row r="27" spans="2:9">
      <c r="B27" s="134">
        <f>First_Year+'Appendix B. Project Information'!B30</f>
        <v>2033</v>
      </c>
      <c r="C27" s="177">
        <f t="shared" si="1"/>
        <v>43.548444735585107</v>
      </c>
      <c r="D27" s="177">
        <f t="shared" si="2"/>
        <v>0.55084481684657738</v>
      </c>
      <c r="E27" s="177">
        <f t="shared" si="3"/>
        <v>2.3232427870032479</v>
      </c>
      <c r="F27" s="177">
        <f t="shared" si="4"/>
        <v>88459.852766111173</v>
      </c>
      <c r="G27" s="177">
        <f t="shared" si="5"/>
        <v>9.5847551279989123</v>
      </c>
      <c r="H27" s="177">
        <f t="shared" si="6"/>
        <v>33.848534565850372</v>
      </c>
      <c r="I27" s="155">
        <f>SUM(Table2B.1_AQ_NB[[#This Row],[NOX]:[VOC]])</f>
        <v>88549.708588144465</v>
      </c>
    </row>
    <row r="28" spans="2:9">
      <c r="B28" s="134">
        <f>First_Year+'Appendix B. Project Information'!B31</f>
        <v>2034</v>
      </c>
      <c r="C28" s="177">
        <f t="shared" si="1"/>
        <v>42.91974976608163</v>
      </c>
      <c r="D28" s="177">
        <f t="shared" si="2"/>
        <v>0.54991627439848711</v>
      </c>
      <c r="E28" s="177">
        <f t="shared" si="3"/>
        <v>2.325204408430523</v>
      </c>
      <c r="F28" s="177">
        <f t="shared" si="4"/>
        <v>88331.121323635103</v>
      </c>
      <c r="G28" s="177">
        <f t="shared" si="5"/>
        <v>9.767597899547285</v>
      </c>
      <c r="H28" s="177">
        <f t="shared" si="6"/>
        <v>33.675129679150849</v>
      </c>
      <c r="I28" s="155">
        <f>SUM(Table2B.1_AQ_NB[[#This Row],[NOX]:[VOC]])</f>
        <v>88420.358921662715</v>
      </c>
    </row>
    <row r="29" spans="2:9">
      <c r="B29" s="134">
        <f>First_Year+'Appendix B. Project Information'!B32</f>
        <v>2035</v>
      </c>
      <c r="C29" s="177">
        <f t="shared" si="1"/>
        <v>42.291054796578152</v>
      </c>
      <c r="D29" s="177">
        <f t="shared" si="2"/>
        <v>0.54898773195039685</v>
      </c>
      <c r="E29" s="177">
        <f t="shared" si="3"/>
        <v>2.3271660298577981</v>
      </c>
      <c r="F29" s="177">
        <f t="shared" si="4"/>
        <v>88202.389881159033</v>
      </c>
      <c r="G29" s="177">
        <f t="shared" si="5"/>
        <v>9.9504406710956577</v>
      </c>
      <c r="H29" s="177">
        <f t="shared" si="6"/>
        <v>33.501724792451327</v>
      </c>
      <c r="I29" s="155">
        <f>SUM(Table2B.1_AQ_NB[[#This Row],[NOX]:[VOC]])</f>
        <v>88291.009255180965</v>
      </c>
    </row>
    <row r="30" spans="2:9">
      <c r="B30" s="134">
        <f>First_Year+'Appendix B. Project Information'!B33</f>
        <v>2036</v>
      </c>
      <c r="C30" s="177">
        <f t="shared" si="1"/>
        <v>41.662359827074674</v>
      </c>
      <c r="D30" s="177">
        <f t="shared" si="2"/>
        <v>0.54805918950230659</v>
      </c>
      <c r="E30" s="177">
        <f t="shared" si="3"/>
        <v>2.3291276512850732</v>
      </c>
      <c r="F30" s="177">
        <f t="shared" si="4"/>
        <v>88073.658438682964</v>
      </c>
      <c r="G30" s="177">
        <f t="shared" si="5"/>
        <v>10.13328344264403</v>
      </c>
      <c r="H30" s="177">
        <f t="shared" si="6"/>
        <v>33.328319905751805</v>
      </c>
      <c r="I30" s="155">
        <f>SUM(Table2B.1_AQ_NB[[#This Row],[NOX]:[VOC]])</f>
        <v>88161.659588699215</v>
      </c>
    </row>
    <row r="31" spans="2:9">
      <c r="B31" s="134">
        <f>First_Year+'Appendix B. Project Information'!B34</f>
        <v>2037</v>
      </c>
      <c r="C31" s="177">
        <f t="shared" si="1"/>
        <v>41.033664857571196</v>
      </c>
      <c r="D31" s="177">
        <f t="shared" si="2"/>
        <v>0.54713064705421632</v>
      </c>
      <c r="E31" s="177">
        <f t="shared" si="3"/>
        <v>2.3310892727123482</v>
      </c>
      <c r="F31" s="177">
        <f t="shared" si="4"/>
        <v>87944.926996206894</v>
      </c>
      <c r="G31" s="177">
        <f t="shared" si="5"/>
        <v>10.316126214192403</v>
      </c>
      <c r="H31" s="177">
        <f t="shared" si="6"/>
        <v>33.154915019052282</v>
      </c>
      <c r="I31" s="155">
        <f>SUM(Table2B.1_AQ_NB[[#This Row],[NOX]:[VOC]])</f>
        <v>88032.309922217479</v>
      </c>
    </row>
    <row r="32" spans="2:9">
      <c r="B32" s="134">
        <f>First_Year+'Appendix B. Project Information'!B35</f>
        <v>2038</v>
      </c>
      <c r="C32" s="177">
        <f t="shared" si="1"/>
        <v>40.404969888067718</v>
      </c>
      <c r="D32" s="177">
        <f t="shared" si="2"/>
        <v>0.54620210460612606</v>
      </c>
      <c r="E32" s="177">
        <f t="shared" si="3"/>
        <v>2.3330508941396233</v>
      </c>
      <c r="F32" s="177">
        <f t="shared" si="4"/>
        <v>87816.195553730824</v>
      </c>
      <c r="G32" s="177">
        <f t="shared" si="5"/>
        <v>10.498968985740776</v>
      </c>
      <c r="H32" s="177">
        <f t="shared" si="6"/>
        <v>32.98151013235276</v>
      </c>
      <c r="I32" s="155">
        <f>SUM(Table2B.1_AQ_NB[[#This Row],[NOX]:[VOC]])</f>
        <v>87902.960255735728</v>
      </c>
    </row>
    <row r="33" spans="2:9">
      <c r="B33" s="134">
        <f>First_Year+'Appendix B. Project Information'!B36</f>
        <v>2039</v>
      </c>
      <c r="C33" s="177">
        <f t="shared" si="1"/>
        <v>39.776274918564241</v>
      </c>
      <c r="D33" s="177">
        <f t="shared" si="2"/>
        <v>0.5452735621580358</v>
      </c>
      <c r="E33" s="177">
        <f t="shared" si="3"/>
        <v>2.3350125155668984</v>
      </c>
      <c r="F33" s="177">
        <f t="shared" si="4"/>
        <v>87687.464111254754</v>
      </c>
      <c r="G33" s="177">
        <f t="shared" si="5"/>
        <v>10.681811757289148</v>
      </c>
      <c r="H33" s="177">
        <f t="shared" si="6"/>
        <v>32.808105245653238</v>
      </c>
      <c r="I33" s="155">
        <f>SUM(Table2B.1_AQ_NB[[#This Row],[NOX]:[VOC]])</f>
        <v>87773.610589253978</v>
      </c>
    </row>
    <row r="34" spans="2:9">
      <c r="B34" s="134">
        <f>First_Year+'Appendix B. Project Information'!B37</f>
        <v>2040</v>
      </c>
      <c r="C34" s="177">
        <f t="shared" si="1"/>
        <v>39.147579949060763</v>
      </c>
      <c r="D34" s="177">
        <f t="shared" si="2"/>
        <v>0.54434501970994553</v>
      </c>
      <c r="E34" s="177">
        <f t="shared" si="3"/>
        <v>2.3369741369941734</v>
      </c>
      <c r="F34" s="177">
        <f t="shared" si="4"/>
        <v>87558.732668778684</v>
      </c>
      <c r="G34" s="177">
        <f t="shared" si="5"/>
        <v>10.864654528837521</v>
      </c>
      <c r="H34" s="177">
        <f t="shared" si="6"/>
        <v>32.634700358953715</v>
      </c>
      <c r="I34" s="155">
        <f>SUM(Table2B.1_AQ_NB[[#This Row],[NOX]:[VOC]])</f>
        <v>87644.260922772228</v>
      </c>
    </row>
    <row r="35" spans="2:9">
      <c r="B35" s="134">
        <f>First_Year+'Appendix B. Project Information'!B38</f>
        <v>2041</v>
      </c>
      <c r="C35" s="177">
        <f t="shared" si="1"/>
        <v>38.518884979557285</v>
      </c>
      <c r="D35" s="177">
        <f t="shared" si="2"/>
        <v>0.54341647726185527</v>
      </c>
      <c r="E35" s="177">
        <f t="shared" si="3"/>
        <v>2.3389357584214485</v>
      </c>
      <c r="F35" s="177">
        <f t="shared" si="4"/>
        <v>87430.001226302615</v>
      </c>
      <c r="G35" s="177">
        <f t="shared" si="5"/>
        <v>11.047497300385894</v>
      </c>
      <c r="H35" s="177">
        <f t="shared" si="6"/>
        <v>32.461295472254193</v>
      </c>
      <c r="I35" s="155">
        <f>SUM(Table2B.1_AQ_NB[[#This Row],[NOX]:[VOC]])</f>
        <v>87514.911256290492</v>
      </c>
    </row>
    <row r="36" spans="2:9">
      <c r="B36" s="134">
        <f>First_Year+'Appendix B. Project Information'!B39</f>
        <v>2042</v>
      </c>
      <c r="C36" s="177">
        <f t="shared" si="1"/>
        <v>37.890190010053807</v>
      </c>
      <c r="D36" s="177">
        <f t="shared" si="2"/>
        <v>0.542487934813765</v>
      </c>
      <c r="E36" s="177">
        <f t="shared" si="3"/>
        <v>2.3408973798487236</v>
      </c>
      <c r="F36" s="177">
        <f t="shared" si="4"/>
        <v>87301.269783826545</v>
      </c>
      <c r="G36" s="177">
        <f t="shared" si="5"/>
        <v>11.230340071934267</v>
      </c>
      <c r="H36" s="177">
        <f t="shared" si="6"/>
        <v>32.287890585554671</v>
      </c>
      <c r="I36" s="155">
        <f>SUM(Table2B.1_AQ_NB[[#This Row],[NOX]:[VOC]])</f>
        <v>87385.561589808756</v>
      </c>
    </row>
    <row r="37" spans="2:9">
      <c r="B37" s="134">
        <f>First_Year+'Appendix B. Project Information'!B40</f>
        <v>2043</v>
      </c>
      <c r="C37" s="177">
        <f t="shared" si="1"/>
        <v>37.261495040550329</v>
      </c>
      <c r="D37" s="177">
        <f t="shared" si="2"/>
        <v>0.54155939236567474</v>
      </c>
      <c r="E37" s="177">
        <f t="shared" si="3"/>
        <v>2.3428590012759987</v>
      </c>
      <c r="F37" s="177">
        <f t="shared" si="4"/>
        <v>87172.538341350475</v>
      </c>
      <c r="G37" s="177">
        <f t="shared" si="5"/>
        <v>11.413182843482639</v>
      </c>
      <c r="H37" s="177">
        <f t="shared" si="6"/>
        <v>32.114485698855148</v>
      </c>
      <c r="I37" s="155">
        <f>SUM(Table2B.1_AQ_NB[[#This Row],[NOX]:[VOC]])</f>
        <v>87256.211923326991</v>
      </c>
    </row>
    <row r="38" spans="2:9">
      <c r="B38" s="134">
        <f>First_Year+'Appendix B. Project Information'!B41</f>
        <v>2044</v>
      </c>
      <c r="C38" s="177">
        <f t="shared" si="1"/>
        <v>36.632800071046852</v>
      </c>
      <c r="D38" s="177">
        <f t="shared" si="2"/>
        <v>0.54063084991758448</v>
      </c>
      <c r="E38" s="177">
        <f t="shared" si="3"/>
        <v>2.3448206227032737</v>
      </c>
      <c r="F38" s="177">
        <f t="shared" si="4"/>
        <v>87043.806898874405</v>
      </c>
      <c r="G38" s="177">
        <f t="shared" si="5"/>
        <v>11.596025615031012</v>
      </c>
      <c r="H38" s="177">
        <f t="shared" si="6"/>
        <v>31.941080812155626</v>
      </c>
      <c r="I38" s="155">
        <f>SUM(Table2B.1_AQ_NB[[#This Row],[NOX]:[VOC]])</f>
        <v>87126.862256845256</v>
      </c>
    </row>
    <row r="39" spans="2:9">
      <c r="B39" s="134">
        <f>First_Year+'Appendix B. Project Information'!B42</f>
        <v>2045</v>
      </c>
      <c r="C39" s="177">
        <f t="shared" si="1"/>
        <v>36.004105101543374</v>
      </c>
      <c r="D39" s="177">
        <f t="shared" si="2"/>
        <v>0.53970230746949421</v>
      </c>
      <c r="E39" s="177">
        <f t="shared" si="3"/>
        <v>2.3467822441305488</v>
      </c>
      <c r="F39" s="177">
        <f t="shared" si="4"/>
        <v>86915.075456398336</v>
      </c>
      <c r="G39" s="177">
        <f t="shared" si="5"/>
        <v>11.778868386579385</v>
      </c>
      <c r="H39" s="177">
        <f t="shared" si="6"/>
        <v>31.767675925456103</v>
      </c>
      <c r="I39" s="155">
        <f>SUM(Table2B.1_AQ_NB[[#This Row],[NOX]:[VOC]])</f>
        <v>86997.51259036352</v>
      </c>
    </row>
    <row r="40" spans="2:9">
      <c r="B40" s="134">
        <f>First_Year+'Appendix B. Project Information'!B43</f>
        <v>2046</v>
      </c>
      <c r="C40" s="177">
        <f t="shared" si="1"/>
        <v>35.375410132039896</v>
      </c>
      <c r="D40" s="177">
        <f t="shared" si="2"/>
        <v>0.53877376502140395</v>
      </c>
      <c r="E40" s="177">
        <f t="shared" si="3"/>
        <v>2.3487438655578239</v>
      </c>
      <c r="F40" s="177">
        <f t="shared" si="4"/>
        <v>86786.344013922266</v>
      </c>
      <c r="G40" s="177">
        <f t="shared" si="5"/>
        <v>11.961711158127757</v>
      </c>
      <c r="H40" s="177">
        <f t="shared" si="6"/>
        <v>31.594271038756581</v>
      </c>
      <c r="I40" s="155">
        <f>SUM(Table2B.1_AQ_NB[[#This Row],[NOX]:[VOC]])</f>
        <v>86868.162923881784</v>
      </c>
    </row>
    <row r="41" spans="2:9">
      <c r="B41" s="134">
        <f>First_Year+'Appendix B. Project Information'!B44</f>
        <v>2047</v>
      </c>
      <c r="C41" s="177">
        <f t="shared" si="1"/>
        <v>34.746715162536418</v>
      </c>
      <c r="D41" s="177">
        <f t="shared" si="2"/>
        <v>0.53784522257331369</v>
      </c>
      <c r="E41" s="177">
        <f t="shared" si="3"/>
        <v>2.350705486985099</v>
      </c>
      <c r="F41" s="177">
        <f t="shared" si="4"/>
        <v>86657.612571446196</v>
      </c>
      <c r="G41" s="177">
        <f t="shared" si="5"/>
        <v>12.14455392967613</v>
      </c>
      <c r="H41" s="177">
        <f t="shared" si="6"/>
        <v>31.420866152057059</v>
      </c>
      <c r="I41" s="155">
        <f>SUM(Table2B.1_AQ_NB[[#This Row],[NOX]:[VOC]])</f>
        <v>86738.813257400019</v>
      </c>
    </row>
    <row r="42" spans="2:9">
      <c r="B42" s="134">
        <f>First_Year+'Appendix B. Project Information'!B45</f>
        <v>2048</v>
      </c>
      <c r="C42" s="177">
        <f t="shared" si="1"/>
        <v>34.11802019303294</v>
      </c>
      <c r="D42" s="177">
        <f t="shared" si="2"/>
        <v>0.53691668012522342</v>
      </c>
      <c r="E42" s="177">
        <f t="shared" si="3"/>
        <v>2.352667108412374</v>
      </c>
      <c r="F42" s="177">
        <f t="shared" si="4"/>
        <v>86528.881128970126</v>
      </c>
      <c r="G42" s="177">
        <f t="shared" si="5"/>
        <v>12.327396701224503</v>
      </c>
      <c r="H42" s="177">
        <f t="shared" si="6"/>
        <v>31.247461265357536</v>
      </c>
      <c r="I42" s="155">
        <f>SUM(Table2B.1_AQ_NB[[#This Row],[NOX]:[VOC]])</f>
        <v>86609.463590918283</v>
      </c>
    </row>
    <row r="43" spans="2:9">
      <c r="B43" s="134">
        <f>First_Year+'Appendix B. Project Information'!B46</f>
        <v>2049</v>
      </c>
      <c r="C43" s="177">
        <f t="shared" si="1"/>
        <v>33.489325223529463</v>
      </c>
      <c r="D43" s="177">
        <f t="shared" si="2"/>
        <v>0.53598813767713316</v>
      </c>
      <c r="E43" s="177">
        <f t="shared" si="3"/>
        <v>2.3546287298396491</v>
      </c>
      <c r="F43" s="177">
        <f t="shared" si="4"/>
        <v>86400.149686494056</v>
      </c>
      <c r="G43" s="177">
        <f t="shared" si="5"/>
        <v>12.510239472772875</v>
      </c>
      <c r="H43" s="177">
        <f t="shared" si="6"/>
        <v>31.074056378658014</v>
      </c>
      <c r="I43" s="155">
        <f>SUM(Table2B.1_AQ_NB[[#This Row],[NOX]:[VOC]])</f>
        <v>86480.113924436533</v>
      </c>
    </row>
    <row r="44" spans="2:9">
      <c r="B44" s="134">
        <f>First_Year+'Appendix B. Project Information'!B47</f>
        <v>2050</v>
      </c>
      <c r="C44" s="177">
        <f t="shared" si="1"/>
        <v>32.860630254025985</v>
      </c>
      <c r="D44" s="177">
        <f t="shared" si="2"/>
        <v>0.53505959522904289</v>
      </c>
      <c r="E44" s="177">
        <f t="shared" si="3"/>
        <v>2.3565903512669242</v>
      </c>
      <c r="F44" s="177">
        <f t="shared" si="4"/>
        <v>86271.418244017987</v>
      </c>
      <c r="G44" s="177">
        <f t="shared" si="5"/>
        <v>12.693082244321248</v>
      </c>
      <c r="H44" s="177">
        <f t="shared" si="6"/>
        <v>30.900651491958492</v>
      </c>
      <c r="I44" s="155">
        <f>SUM(Table2B.1_AQ_NB[[#This Row],[NOX]:[VOC]])</f>
        <v>86350.764257954797</v>
      </c>
    </row>
    <row r="45" spans="2:9">
      <c r="B45" s="134">
        <f>First_Year+'Appendix B. Project Information'!B48</f>
        <v>2051</v>
      </c>
      <c r="C45" s="177">
        <f t="shared" si="1"/>
        <v>32.231935284522507</v>
      </c>
      <c r="D45" s="177">
        <f t="shared" si="2"/>
        <v>0.53413105278095263</v>
      </c>
      <c r="E45" s="177">
        <f t="shared" si="3"/>
        <v>2.3585519726941993</v>
      </c>
      <c r="F45" s="177">
        <f t="shared" si="4"/>
        <v>86142.686801541917</v>
      </c>
      <c r="G45" s="177">
        <f t="shared" si="5"/>
        <v>12.875925015869621</v>
      </c>
      <c r="H45" s="177">
        <f t="shared" si="6"/>
        <v>30.727246605258969</v>
      </c>
      <c r="I45" s="155">
        <f>SUM(Table2B.1_AQ_NB[[#This Row],[NOX]:[VOC]])</f>
        <v>86221.414591473047</v>
      </c>
    </row>
    <row r="46" spans="2:9">
      <c r="B46" s="134">
        <f>First_Year+'Appendix B. Project Information'!B49</f>
        <v>2052</v>
      </c>
      <c r="C46" s="177">
        <f t="shared" si="1"/>
        <v>31.603240315019026</v>
      </c>
      <c r="D46" s="177">
        <f t="shared" si="2"/>
        <v>0.53320251033286237</v>
      </c>
      <c r="E46" s="177">
        <f t="shared" si="3"/>
        <v>2.3605135941214743</v>
      </c>
      <c r="F46" s="177">
        <f t="shared" si="4"/>
        <v>86013.955359065847</v>
      </c>
      <c r="G46" s="177">
        <f t="shared" si="5"/>
        <v>13.058767787417993</v>
      </c>
      <c r="H46" s="177">
        <f t="shared" si="6"/>
        <v>30.553841718559447</v>
      </c>
      <c r="I46" s="155">
        <f>SUM(Table2B.1_AQ_NB[[#This Row],[NOX]:[VOC]])</f>
        <v>86092.064924991297</v>
      </c>
    </row>
    <row r="47" spans="2:9">
      <c r="B47" s="134">
        <f>First_Year+'Appendix B. Project Information'!B50</f>
        <v>2053</v>
      </c>
      <c r="C47" s="177">
        <f t="shared" si="1"/>
        <v>30.974545345515544</v>
      </c>
      <c r="D47" s="177">
        <f t="shared" si="2"/>
        <v>0.5322739678847721</v>
      </c>
      <c r="E47" s="177">
        <f t="shared" si="3"/>
        <v>2.3624752155487494</v>
      </c>
      <c r="F47" s="177">
        <f t="shared" si="4"/>
        <v>85885.223916589777</v>
      </c>
      <c r="G47" s="177">
        <f t="shared" si="5"/>
        <v>13.241610558966366</v>
      </c>
      <c r="H47" s="177">
        <f t="shared" si="6"/>
        <v>30.380436831859924</v>
      </c>
      <c r="I47" s="155">
        <f>SUM(Table2B.1_AQ_NB[[#This Row],[NOX]:[VOC]])</f>
        <v>85962.715258509561</v>
      </c>
    </row>
    <row r="48" spans="2:9">
      <c r="B48" s="134">
        <f>First_Year+'Appendix B. Project Information'!B51</f>
        <v>2054</v>
      </c>
      <c r="C48" s="177">
        <f t="shared" si="1"/>
        <v>30.345850376012063</v>
      </c>
      <c r="D48" s="177">
        <f t="shared" si="2"/>
        <v>0.53134542543668184</v>
      </c>
      <c r="E48" s="177">
        <f t="shared" si="3"/>
        <v>2.3644368369760245</v>
      </c>
      <c r="F48" s="177">
        <f t="shared" si="4"/>
        <v>85756.492474113707</v>
      </c>
      <c r="G48" s="177">
        <f t="shared" si="5"/>
        <v>13.424453330514739</v>
      </c>
      <c r="H48" s="177">
        <f t="shared" si="6"/>
        <v>30.207031945160402</v>
      </c>
      <c r="I48" s="155">
        <f>SUM(Table2B.1_AQ_NB[[#This Row],[NOX]:[VOC]])</f>
        <v>85833.365592027811</v>
      </c>
    </row>
    <row r="49" spans="2:9">
      <c r="B49" s="134">
        <f>First_Year+'Appendix B. Project Information'!B52</f>
        <v>2055</v>
      </c>
      <c r="C49" s="177">
        <f t="shared" si="1"/>
        <v>29.717155406508581</v>
      </c>
      <c r="D49" s="177">
        <f t="shared" si="2"/>
        <v>0.53041688298859158</v>
      </c>
      <c r="E49" s="177">
        <f t="shared" si="3"/>
        <v>2.3663984584032995</v>
      </c>
      <c r="F49" s="177">
        <f t="shared" si="4"/>
        <v>85627.761031637638</v>
      </c>
      <c r="G49" s="177">
        <f t="shared" si="5"/>
        <v>13.607296102063112</v>
      </c>
      <c r="H49" s="177">
        <f t="shared" si="6"/>
        <v>30.03362705846088</v>
      </c>
      <c r="I49" s="155">
        <f>SUM(Table2B.1_AQ_NB[[#This Row],[NOX]:[VOC]])</f>
        <v>85704.015925546075</v>
      </c>
    </row>
    <row r="50" spans="2:9">
      <c r="B50" s="134">
        <f>First_Year+'Appendix B. Project Information'!B53</f>
        <v>2056</v>
      </c>
      <c r="C50" s="177">
        <f t="shared" si="1"/>
        <v>29.0884604370051</v>
      </c>
      <c r="D50" s="177">
        <f t="shared" si="2"/>
        <v>0.52948834054050131</v>
      </c>
      <c r="E50" s="177">
        <f t="shared" si="3"/>
        <v>2.3683600798305746</v>
      </c>
      <c r="F50" s="177">
        <f t="shared" si="4"/>
        <v>85499.029589161568</v>
      </c>
      <c r="G50" s="177">
        <f t="shared" si="5"/>
        <v>13.790138873611484</v>
      </c>
      <c r="H50" s="177">
        <f t="shared" si="6"/>
        <v>29.860222171761357</v>
      </c>
      <c r="I50" s="155">
        <f>SUM(Table2B.1_AQ_NB[[#This Row],[NOX]:[VOC]])</f>
        <v>85574.66625906431</v>
      </c>
    </row>
    <row r="51" spans="2:9">
      <c r="B51" s="134">
        <f>First_Year+'Appendix B. Project Information'!B54</f>
        <v>2057</v>
      </c>
      <c r="C51" s="177">
        <f t="shared" si="1"/>
        <v>28.459765467501619</v>
      </c>
      <c r="D51" s="177">
        <f t="shared" si="2"/>
        <v>0.52855979809241105</v>
      </c>
      <c r="E51" s="177">
        <f t="shared" si="3"/>
        <v>2.3703217012578497</v>
      </c>
      <c r="F51" s="177">
        <f t="shared" si="4"/>
        <v>85370.298146685498</v>
      </c>
      <c r="G51" s="177">
        <f t="shared" si="5"/>
        <v>13.972981645159857</v>
      </c>
      <c r="H51" s="177">
        <f t="shared" si="6"/>
        <v>29.686817285061835</v>
      </c>
      <c r="I51" s="155">
        <f>SUM(Table2B.1_AQ_NB[[#This Row],[NOX]:[VOC]])</f>
        <v>85445.316592582574</v>
      </c>
    </row>
    <row r="52" spans="2:9">
      <c r="B52" s="134">
        <f>First_Year+'Appendix B. Project Information'!B55</f>
        <v>2058</v>
      </c>
      <c r="C52" s="203">
        <f>30.6559241535449/1.1015</f>
        <v>27.831070497998095</v>
      </c>
      <c r="D52" s="203">
        <f>0.581185828092219/1.1015</f>
        <v>0.52763125564432045</v>
      </c>
      <c r="E52" s="203">
        <f>2.61307007993767/1.1015</f>
        <v>2.3722833226851292</v>
      </c>
      <c r="F52" s="203">
        <f>93893.5857246867/1.1015</f>
        <v>85241.566704209443</v>
      </c>
      <c r="G52" s="203">
        <f>15.5926405950041/1.1015</f>
        <v>14.155824416708217</v>
      </c>
      <c r="H52" s="203">
        <f>32.5090237567961/1.1015</f>
        <v>29.513412398362323</v>
      </c>
      <c r="I52" s="155">
        <f>SUM(Table2B.1_AQ_NB[[#This Row],[NOX]:[VOC]])</f>
        <v>85315.966926100838</v>
      </c>
    </row>
    <row r="53" spans="2:9">
      <c r="B53" s="134" t="s">
        <v>28</v>
      </c>
      <c r="C53" s="201">
        <f>SUBTOTAL(109,Table2B.1_AQ_NB[NOX])</f>
        <v>1155.1063462570601</v>
      </c>
      <c r="D53" s="201">
        <f>SUBTOTAL(109,Table2B.1_AQ_NB[SOx])</f>
        <v>16.788341163335915</v>
      </c>
      <c r="E53" s="201">
        <f>SUBTOTAL(109,Table2B.1_AQ_NB[PM2.5])</f>
        <v>72.628629039555975</v>
      </c>
      <c r="F53" s="201">
        <f>SUBTOTAL(109,Table2B.1_AQ_NB[CO2])</f>
        <v>2702348.6885818648</v>
      </c>
      <c r="G53" s="201">
        <f>SUBTOTAL(109,Table2B.1_AQ_NB[PM10])</f>
        <v>353.8086681479619</v>
      </c>
      <c r="H53" s="201">
        <f>SUBTOTAL(109,Table2B.1_AQ_NB[VOC])</f>
        <v>995.54905666450964</v>
      </c>
      <c r="I53" s="202">
        <f>SUBTOTAL(109,Table2B.1_AQ_NB[Total])</f>
        <v>2704942.5696231374</v>
      </c>
    </row>
    <row r="55" spans="2:9">
      <c r="B55" s="63" t="s">
        <v>142</v>
      </c>
    </row>
    <row r="57" spans="2:9">
      <c r="B57" s="133" t="s">
        <v>21</v>
      </c>
      <c r="C57" s="145" t="s">
        <v>130</v>
      </c>
      <c r="D57" s="145" t="s">
        <v>122</v>
      </c>
      <c r="E57" s="145" t="s">
        <v>131</v>
      </c>
      <c r="F57" s="145" t="s">
        <v>132</v>
      </c>
      <c r="G57" s="145" t="s">
        <v>133</v>
      </c>
      <c r="H57" s="145" t="s">
        <v>126</v>
      </c>
      <c r="I57" s="145" t="s">
        <v>28</v>
      </c>
    </row>
    <row r="58" spans="2:9">
      <c r="B58" s="134">
        <f>First_Year+'Appendix B. Project Information'!B20</f>
        <v>2023</v>
      </c>
      <c r="C58" s="203"/>
      <c r="D58" s="203"/>
      <c r="E58" s="203"/>
      <c r="F58" s="203"/>
      <c r="G58" s="203"/>
      <c r="H58" s="203"/>
      <c r="I58" s="155">
        <f>SUM(Table2B.2_AQ_PA[[#This Row],[NOX]:[VOC]])</f>
        <v>0</v>
      </c>
    </row>
    <row r="59" spans="2:9">
      <c r="B59" s="134">
        <f>First_Year+'Appendix B. Project Information'!B21</f>
        <v>2024</v>
      </c>
      <c r="C59" s="203"/>
      <c r="D59" s="203"/>
      <c r="E59" s="203"/>
      <c r="F59" s="203"/>
      <c r="G59" s="203"/>
      <c r="H59" s="203"/>
      <c r="I59" s="155">
        <f>SUM(Table2B.2_AQ_PA[[#This Row],[NOX]:[VOC]])</f>
        <v>0</v>
      </c>
    </row>
    <row r="60" spans="2:9">
      <c r="B60" s="134">
        <f>First_Year+'Appendix B. Project Information'!B22</f>
        <v>2025</v>
      </c>
      <c r="C60" s="203"/>
      <c r="D60" s="203"/>
      <c r="E60" s="203"/>
      <c r="F60" s="203"/>
      <c r="G60" s="203"/>
      <c r="H60" s="203"/>
      <c r="I60" s="155">
        <f>SUM(Table2B.2_AQ_PA[[#This Row],[NOX]:[VOC]])</f>
        <v>0</v>
      </c>
    </row>
    <row r="61" spans="2:9">
      <c r="B61" s="134">
        <f>First_Year+'Appendix B. Project Information'!B23</f>
        <v>2026</v>
      </c>
      <c r="C61" s="203"/>
      <c r="D61" s="203"/>
      <c r="E61" s="203"/>
      <c r="F61" s="203"/>
      <c r="G61" s="203"/>
      <c r="H61" s="203"/>
      <c r="I61" s="155">
        <f>SUM(Table2B.2_AQ_PA[[#This Row],[NOX]:[VOC]])</f>
        <v>0</v>
      </c>
    </row>
    <row r="62" spans="2:9">
      <c r="B62" s="134">
        <f>First_Year+'Appendix B. Project Information'!B24</f>
        <v>2027</v>
      </c>
      <c r="C62" s="203"/>
      <c r="D62" s="203"/>
      <c r="E62" s="203"/>
      <c r="F62" s="203"/>
      <c r="G62" s="203"/>
      <c r="H62" s="203"/>
      <c r="I62" s="155">
        <f>SUM(Table2B.2_AQ_PA[[#This Row],[NOX]:[VOC]])</f>
        <v>0</v>
      </c>
    </row>
    <row r="63" spans="2:9">
      <c r="B63" s="134">
        <f>First_Year+'Appendix B. Project Information'!B25</f>
        <v>2028</v>
      </c>
      <c r="C63" s="203">
        <f>51.2597286286051/1.1015</f>
        <v>46.536294715029605</v>
      </c>
      <c r="D63" s="203">
        <f>0.611197760596828/1.1015</f>
        <v>0.55487767643833685</v>
      </c>
      <c r="E63" s="203">
        <f>2.53094047795635/1.1015</f>
        <v>2.2977217230652291</v>
      </c>
      <c r="F63" s="203">
        <f>98036.5031745439/1.1015</f>
        <v>89002.726440802464</v>
      </c>
      <c r="G63" s="203">
        <f>9.44359785476878/1.1015</f>
        <v>8.5733979616602642</v>
      </c>
      <c r="H63" s="203">
        <f>38.1760819933086/1.1015</f>
        <v>34.658267810538902</v>
      </c>
      <c r="I63" s="155">
        <f>SUM(Table2B.2_AQ_PA[[#This Row],[NOX]:[VOC]])</f>
        <v>89095.347000689188</v>
      </c>
    </row>
    <row r="64" spans="2:9">
      <c r="B64" s="134">
        <f>First_Year+'Appendix B. Project Information'!B26</f>
        <v>2029</v>
      </c>
      <c r="C64" s="177">
        <f>C63+((C$93-C$63)/30)</f>
        <v>45.845686749924091</v>
      </c>
      <c r="D64" s="177">
        <f t="shared" ref="D64:H64" si="7">D63+((D$93-D$63)/30)</f>
        <v>0.55369607737449933</v>
      </c>
      <c r="E64" s="177">
        <f t="shared" si="7"/>
        <v>2.2884646590353417</v>
      </c>
      <c r="F64" s="177">
        <f t="shared" si="7"/>
        <v>88832.129880196822</v>
      </c>
      <c r="G64" s="177">
        <f t="shared" si="7"/>
        <v>8.6659140208521297</v>
      </c>
      <c r="H64" s="177">
        <f t="shared" si="7"/>
        <v>34.448522725453891</v>
      </c>
      <c r="I64" s="155">
        <f>SUM(Table2B.2_AQ_PA[[#This Row],[NOX]:[VOC]])</f>
        <v>88923.932164429454</v>
      </c>
    </row>
    <row r="65" spans="2:9">
      <c r="B65" s="134">
        <f>First_Year+'Appendix B. Project Information'!B27</f>
        <v>2030</v>
      </c>
      <c r="C65" s="177">
        <f t="shared" ref="C65:C92" si="8">C64+((C$93-C$63)/30)</f>
        <v>45.155078784818578</v>
      </c>
      <c r="D65" s="177">
        <f t="shared" ref="D65:D92" si="9">D64+((D$93-D$63)/30)</f>
        <v>0.55251447831066181</v>
      </c>
      <c r="E65" s="177">
        <f t="shared" ref="E65:E92" si="10">E64+((E$93-E$63)/30)</f>
        <v>2.2792075950054542</v>
      </c>
      <c r="F65" s="177">
        <f t="shared" ref="F65:F92" si="11">F64+((F$93-F$63)/30)</f>
        <v>88661.533319591181</v>
      </c>
      <c r="G65" s="177">
        <f t="shared" ref="G65:G92" si="12">G64+((G$93-G$63)/30)</f>
        <v>8.7584300800439951</v>
      </c>
      <c r="H65" s="177">
        <f t="shared" ref="H65:H92" si="13">H64+((H$93-H$63)/30)</f>
        <v>34.23877764036888</v>
      </c>
      <c r="I65" s="155">
        <f>SUM(Table2B.2_AQ_PA[[#This Row],[NOX]:[VOC]])</f>
        <v>88752.517328169721</v>
      </c>
    </row>
    <row r="66" spans="2:9">
      <c r="B66" s="134">
        <f>First_Year+'Appendix B. Project Information'!B28</f>
        <v>2031</v>
      </c>
      <c r="C66" s="177">
        <f t="shared" si="8"/>
        <v>44.464470819713064</v>
      </c>
      <c r="D66" s="177">
        <f t="shared" si="9"/>
        <v>0.55133287924682428</v>
      </c>
      <c r="E66" s="177">
        <f t="shared" si="10"/>
        <v>2.2699505309755668</v>
      </c>
      <c r="F66" s="177">
        <f t="shared" si="11"/>
        <v>88490.936758985539</v>
      </c>
      <c r="G66" s="177">
        <f t="shared" si="12"/>
        <v>8.8509461392358606</v>
      </c>
      <c r="H66" s="177">
        <f t="shared" si="13"/>
        <v>34.029032555283869</v>
      </c>
      <c r="I66" s="155">
        <f>SUM(Table2B.2_AQ_PA[[#This Row],[NOX]:[VOC]])</f>
        <v>88581.102491909987</v>
      </c>
    </row>
    <row r="67" spans="2:9">
      <c r="B67" s="134">
        <f>First_Year+'Appendix B. Project Information'!B29</f>
        <v>2032</v>
      </c>
      <c r="C67" s="177">
        <f t="shared" si="8"/>
        <v>43.77386285460755</v>
      </c>
      <c r="D67" s="177">
        <f t="shared" si="9"/>
        <v>0.55015128018298676</v>
      </c>
      <c r="E67" s="177">
        <f t="shared" si="10"/>
        <v>2.2606934669456793</v>
      </c>
      <c r="F67" s="177">
        <f t="shared" si="11"/>
        <v>88320.340198379898</v>
      </c>
      <c r="G67" s="177">
        <f t="shared" si="12"/>
        <v>8.9434621984277261</v>
      </c>
      <c r="H67" s="177">
        <f t="shared" si="13"/>
        <v>33.819287470198859</v>
      </c>
      <c r="I67" s="155">
        <f>SUM(Table2B.2_AQ_PA[[#This Row],[NOX]:[VOC]])</f>
        <v>88409.687655650254</v>
      </c>
    </row>
    <row r="68" spans="2:9">
      <c r="B68" s="134">
        <f>First_Year+'Appendix B. Project Information'!B30</f>
        <v>2033</v>
      </c>
      <c r="C68" s="177">
        <f t="shared" si="8"/>
        <v>43.083254889502037</v>
      </c>
      <c r="D68" s="177">
        <f t="shared" si="9"/>
        <v>0.54896968111914923</v>
      </c>
      <c r="E68" s="177">
        <f t="shared" si="10"/>
        <v>2.2514364029157918</v>
      </c>
      <c r="F68" s="177">
        <f t="shared" si="11"/>
        <v>88149.743637774256</v>
      </c>
      <c r="G68" s="177">
        <f t="shared" si="12"/>
        <v>9.0359782576195915</v>
      </c>
      <c r="H68" s="177">
        <f t="shared" si="13"/>
        <v>33.609542385113848</v>
      </c>
      <c r="I68" s="155">
        <f>SUM(Table2B.2_AQ_PA[[#This Row],[NOX]:[VOC]])</f>
        <v>88238.272819390506</v>
      </c>
    </row>
    <row r="69" spans="2:9">
      <c r="B69" s="134">
        <f>First_Year+'Appendix B. Project Information'!B31</f>
        <v>2034</v>
      </c>
      <c r="C69" s="177">
        <f t="shared" si="8"/>
        <v>42.392646924396523</v>
      </c>
      <c r="D69" s="177">
        <f t="shared" si="9"/>
        <v>0.54778808205531171</v>
      </c>
      <c r="E69" s="177">
        <f t="shared" si="10"/>
        <v>2.2421793388859044</v>
      </c>
      <c r="F69" s="177">
        <f t="shared" si="11"/>
        <v>87979.147077168614</v>
      </c>
      <c r="G69" s="177">
        <f t="shared" si="12"/>
        <v>9.128494316811457</v>
      </c>
      <c r="H69" s="177">
        <f t="shared" si="13"/>
        <v>33.399797300028837</v>
      </c>
      <c r="I69" s="155">
        <f>SUM(Table2B.2_AQ_PA[[#This Row],[NOX]:[VOC]])</f>
        <v>88066.857983130787</v>
      </c>
    </row>
    <row r="70" spans="2:9">
      <c r="B70" s="134">
        <f>First_Year+'Appendix B. Project Information'!B32</f>
        <v>2035</v>
      </c>
      <c r="C70" s="177">
        <f t="shared" si="8"/>
        <v>41.702038959291009</v>
      </c>
      <c r="D70" s="177">
        <f t="shared" si="9"/>
        <v>0.54660648299147419</v>
      </c>
      <c r="E70" s="177">
        <f t="shared" si="10"/>
        <v>2.2329222748560169</v>
      </c>
      <c r="F70" s="177">
        <f t="shared" si="11"/>
        <v>87808.550516562973</v>
      </c>
      <c r="G70" s="177">
        <f t="shared" si="12"/>
        <v>9.2210103760033224</v>
      </c>
      <c r="H70" s="177">
        <f t="shared" si="13"/>
        <v>33.190052214943826</v>
      </c>
      <c r="I70" s="155">
        <f>SUM(Table2B.2_AQ_PA[[#This Row],[NOX]:[VOC]])</f>
        <v>87895.443146871054</v>
      </c>
    </row>
    <row r="71" spans="2:9">
      <c r="B71" s="134">
        <f>First_Year+'Appendix B. Project Information'!B33</f>
        <v>2036</v>
      </c>
      <c r="C71" s="177">
        <f t="shared" si="8"/>
        <v>41.011430994185496</v>
      </c>
      <c r="D71" s="177">
        <f t="shared" si="9"/>
        <v>0.54542488392763666</v>
      </c>
      <c r="E71" s="177">
        <f t="shared" si="10"/>
        <v>2.2236652108261294</v>
      </c>
      <c r="F71" s="177">
        <f t="shared" si="11"/>
        <v>87637.953955957331</v>
      </c>
      <c r="G71" s="177">
        <f t="shared" si="12"/>
        <v>9.3135264351951879</v>
      </c>
      <c r="H71" s="177">
        <f t="shared" si="13"/>
        <v>32.980307129858815</v>
      </c>
      <c r="I71" s="155">
        <f>SUM(Table2B.2_AQ_PA[[#This Row],[NOX]:[VOC]])</f>
        <v>87724.02831061132</v>
      </c>
    </row>
    <row r="72" spans="2:9">
      <c r="B72" s="134">
        <f>First_Year+'Appendix B. Project Information'!B34</f>
        <v>2037</v>
      </c>
      <c r="C72" s="177">
        <f t="shared" si="8"/>
        <v>40.320823029079982</v>
      </c>
      <c r="D72" s="177">
        <f t="shared" si="9"/>
        <v>0.54424328486379914</v>
      </c>
      <c r="E72" s="177">
        <f t="shared" si="10"/>
        <v>2.214408146796242</v>
      </c>
      <c r="F72" s="177">
        <f t="shared" si="11"/>
        <v>87467.35739535169</v>
      </c>
      <c r="G72" s="177">
        <f t="shared" si="12"/>
        <v>9.4060424943870533</v>
      </c>
      <c r="H72" s="177">
        <f t="shared" si="13"/>
        <v>32.770562044773804</v>
      </c>
      <c r="I72" s="155">
        <f>SUM(Table2B.2_AQ_PA[[#This Row],[NOX]:[VOC]])</f>
        <v>87552.613474351587</v>
      </c>
    </row>
    <row r="73" spans="2:9">
      <c r="B73" s="134">
        <f>First_Year+'Appendix B. Project Information'!B35</f>
        <v>2038</v>
      </c>
      <c r="C73" s="177">
        <f t="shared" si="8"/>
        <v>39.630215063974468</v>
      </c>
      <c r="D73" s="177">
        <f t="shared" si="9"/>
        <v>0.54306168579996161</v>
      </c>
      <c r="E73" s="177">
        <f t="shared" si="10"/>
        <v>2.2051510827663545</v>
      </c>
      <c r="F73" s="177">
        <f t="shared" si="11"/>
        <v>87296.760834746048</v>
      </c>
      <c r="G73" s="177">
        <f t="shared" si="12"/>
        <v>9.4985585535789188</v>
      </c>
      <c r="H73" s="177">
        <f t="shared" si="13"/>
        <v>32.560816959688793</v>
      </c>
      <c r="I73" s="155">
        <f>SUM(Table2B.2_AQ_PA[[#This Row],[NOX]:[VOC]])</f>
        <v>87381.198638091853</v>
      </c>
    </row>
    <row r="74" spans="2:9">
      <c r="B74" s="134">
        <f>First_Year+'Appendix B. Project Information'!B36</f>
        <v>2039</v>
      </c>
      <c r="C74" s="177">
        <f t="shared" si="8"/>
        <v>38.939607098868954</v>
      </c>
      <c r="D74" s="177">
        <f t="shared" si="9"/>
        <v>0.54188008673612409</v>
      </c>
      <c r="E74" s="177">
        <f t="shared" si="10"/>
        <v>2.1958940187364671</v>
      </c>
      <c r="F74" s="177">
        <f t="shared" si="11"/>
        <v>87126.164274140407</v>
      </c>
      <c r="G74" s="177">
        <f t="shared" si="12"/>
        <v>9.5910746127707842</v>
      </c>
      <c r="H74" s="177">
        <f t="shared" si="13"/>
        <v>32.351071874603782</v>
      </c>
      <c r="I74" s="155">
        <f>SUM(Table2B.2_AQ_PA[[#This Row],[NOX]:[VOC]])</f>
        <v>87209.78380183212</v>
      </c>
    </row>
    <row r="75" spans="2:9">
      <c r="B75" s="134">
        <f>First_Year+'Appendix B. Project Information'!B37</f>
        <v>2040</v>
      </c>
      <c r="C75" s="177">
        <f t="shared" si="8"/>
        <v>38.248999133763441</v>
      </c>
      <c r="D75" s="177">
        <f t="shared" si="9"/>
        <v>0.54069848767228657</v>
      </c>
      <c r="E75" s="177">
        <f t="shared" si="10"/>
        <v>2.1866369547065796</v>
      </c>
      <c r="F75" s="177">
        <f t="shared" si="11"/>
        <v>86955.567713534765</v>
      </c>
      <c r="G75" s="177">
        <f t="shared" si="12"/>
        <v>9.6835906719626497</v>
      </c>
      <c r="H75" s="177">
        <f t="shared" si="13"/>
        <v>32.141326789518772</v>
      </c>
      <c r="I75" s="155">
        <f>SUM(Table2B.2_AQ_PA[[#This Row],[NOX]:[VOC]])</f>
        <v>87038.368965572401</v>
      </c>
    </row>
    <row r="76" spans="2:9">
      <c r="B76" s="134">
        <f>First_Year+'Appendix B. Project Information'!B38</f>
        <v>2041</v>
      </c>
      <c r="C76" s="177">
        <f t="shared" si="8"/>
        <v>37.558391168657927</v>
      </c>
      <c r="D76" s="177">
        <f t="shared" si="9"/>
        <v>0.53951688860844904</v>
      </c>
      <c r="E76" s="177">
        <f t="shared" si="10"/>
        <v>2.1773798906766921</v>
      </c>
      <c r="F76" s="177">
        <f t="shared" si="11"/>
        <v>86784.971152929123</v>
      </c>
      <c r="G76" s="177">
        <f t="shared" si="12"/>
        <v>9.7761067311545151</v>
      </c>
      <c r="H76" s="177">
        <f t="shared" si="13"/>
        <v>31.931581704433757</v>
      </c>
      <c r="I76" s="155">
        <f>SUM(Table2B.2_AQ_PA[[#This Row],[NOX]:[VOC]])</f>
        <v>86866.954129312653</v>
      </c>
    </row>
    <row r="77" spans="2:9">
      <c r="B77" s="134">
        <f>First_Year+'Appendix B. Project Information'!B39</f>
        <v>2042</v>
      </c>
      <c r="C77" s="177">
        <f t="shared" si="8"/>
        <v>36.867783203552413</v>
      </c>
      <c r="D77" s="177">
        <f t="shared" si="9"/>
        <v>0.53833528954461152</v>
      </c>
      <c r="E77" s="177">
        <f t="shared" si="10"/>
        <v>2.1681228266468047</v>
      </c>
      <c r="F77" s="177">
        <f t="shared" si="11"/>
        <v>86614.374592323482</v>
      </c>
      <c r="G77" s="177">
        <f t="shared" si="12"/>
        <v>9.8686227903463806</v>
      </c>
      <c r="H77" s="177">
        <f t="shared" si="13"/>
        <v>31.721836619348743</v>
      </c>
      <c r="I77" s="155">
        <f>SUM(Table2B.2_AQ_PA[[#This Row],[NOX]:[VOC]])</f>
        <v>86695.539293052934</v>
      </c>
    </row>
    <row r="78" spans="2:9">
      <c r="B78" s="134">
        <f>First_Year+'Appendix B. Project Information'!B40</f>
        <v>2043</v>
      </c>
      <c r="C78" s="177">
        <f t="shared" si="8"/>
        <v>36.1771752384469</v>
      </c>
      <c r="D78" s="177">
        <f t="shared" si="9"/>
        <v>0.53715369048077399</v>
      </c>
      <c r="E78" s="177">
        <f t="shared" si="10"/>
        <v>2.1588657626169172</v>
      </c>
      <c r="F78" s="177">
        <f t="shared" si="11"/>
        <v>86443.77803171784</v>
      </c>
      <c r="G78" s="177">
        <f t="shared" si="12"/>
        <v>9.961138849538246</v>
      </c>
      <c r="H78" s="177">
        <f t="shared" si="13"/>
        <v>31.512091534263728</v>
      </c>
      <c r="I78" s="155">
        <f>SUM(Table2B.2_AQ_PA[[#This Row],[NOX]:[VOC]])</f>
        <v>86524.124456793201</v>
      </c>
    </row>
    <row r="79" spans="2:9">
      <c r="B79" s="134">
        <f>First_Year+'Appendix B. Project Information'!B41</f>
        <v>2044</v>
      </c>
      <c r="C79" s="177">
        <f t="shared" si="8"/>
        <v>35.486567273341386</v>
      </c>
      <c r="D79" s="177">
        <f t="shared" si="9"/>
        <v>0.53597209141693647</v>
      </c>
      <c r="E79" s="177">
        <f t="shared" si="10"/>
        <v>2.1496086985870297</v>
      </c>
      <c r="F79" s="177">
        <f t="shared" si="11"/>
        <v>86273.181471112199</v>
      </c>
      <c r="G79" s="177">
        <f t="shared" si="12"/>
        <v>10.053654908730111</v>
      </c>
      <c r="H79" s="177">
        <f t="shared" si="13"/>
        <v>31.302346449178714</v>
      </c>
      <c r="I79" s="155">
        <f>SUM(Table2B.2_AQ_PA[[#This Row],[NOX]:[VOC]])</f>
        <v>86352.709620533453</v>
      </c>
    </row>
    <row r="80" spans="2:9">
      <c r="B80" s="134">
        <f>First_Year+'Appendix B. Project Information'!B42</f>
        <v>2045</v>
      </c>
      <c r="C80" s="177">
        <f t="shared" si="8"/>
        <v>34.795959308235872</v>
      </c>
      <c r="D80" s="177">
        <f t="shared" si="9"/>
        <v>0.53479049235309895</v>
      </c>
      <c r="E80" s="177">
        <f t="shared" si="10"/>
        <v>2.1403516345571423</v>
      </c>
      <c r="F80" s="177">
        <f t="shared" si="11"/>
        <v>86102.584910506557</v>
      </c>
      <c r="G80" s="177">
        <f t="shared" si="12"/>
        <v>10.146170967921977</v>
      </c>
      <c r="H80" s="177">
        <f t="shared" si="13"/>
        <v>31.092601364093699</v>
      </c>
      <c r="I80" s="155">
        <f>SUM(Table2B.2_AQ_PA[[#This Row],[NOX]:[VOC]])</f>
        <v>86181.294784273734</v>
      </c>
    </row>
    <row r="81" spans="2:9">
      <c r="B81" s="134">
        <f>First_Year+'Appendix B. Project Information'!B43</f>
        <v>2046</v>
      </c>
      <c r="C81" s="177">
        <f t="shared" si="8"/>
        <v>34.105351343130359</v>
      </c>
      <c r="D81" s="177">
        <f t="shared" si="9"/>
        <v>0.53360889328926142</v>
      </c>
      <c r="E81" s="177">
        <f t="shared" si="10"/>
        <v>2.1310945705272548</v>
      </c>
      <c r="F81" s="177">
        <f t="shared" si="11"/>
        <v>85931.988349900916</v>
      </c>
      <c r="G81" s="177">
        <f t="shared" si="12"/>
        <v>10.238687027113842</v>
      </c>
      <c r="H81" s="177">
        <f t="shared" si="13"/>
        <v>30.882856279008685</v>
      </c>
      <c r="I81" s="155">
        <f>SUM(Table2B.2_AQ_PA[[#This Row],[NOX]:[VOC]])</f>
        <v>86009.879948013986</v>
      </c>
    </row>
    <row r="82" spans="2:9">
      <c r="B82" s="134">
        <f>First_Year+'Appendix B. Project Information'!B44</f>
        <v>2047</v>
      </c>
      <c r="C82" s="177">
        <f t="shared" si="8"/>
        <v>33.414743378024845</v>
      </c>
      <c r="D82" s="177">
        <f t="shared" si="9"/>
        <v>0.5324272942254239</v>
      </c>
      <c r="E82" s="177">
        <f t="shared" si="10"/>
        <v>2.1218375064973674</v>
      </c>
      <c r="F82" s="177">
        <f t="shared" si="11"/>
        <v>85761.391789295274</v>
      </c>
      <c r="G82" s="177">
        <f t="shared" si="12"/>
        <v>10.331203086305708</v>
      </c>
      <c r="H82" s="177">
        <f t="shared" si="13"/>
        <v>30.67311119392367</v>
      </c>
      <c r="I82" s="155">
        <f>SUM(Table2B.2_AQ_PA[[#This Row],[NOX]:[VOC]])</f>
        <v>85838.465111754253</v>
      </c>
    </row>
    <row r="83" spans="2:9">
      <c r="B83" s="134">
        <f>First_Year+'Appendix B. Project Information'!B45</f>
        <v>2048</v>
      </c>
      <c r="C83" s="177">
        <f t="shared" si="8"/>
        <v>32.724135412919331</v>
      </c>
      <c r="D83" s="177">
        <f t="shared" si="9"/>
        <v>0.53124569516158637</v>
      </c>
      <c r="E83" s="177">
        <f t="shared" si="10"/>
        <v>2.1125804424674799</v>
      </c>
      <c r="F83" s="177">
        <f t="shared" si="11"/>
        <v>85590.795228689632</v>
      </c>
      <c r="G83" s="177">
        <f t="shared" si="12"/>
        <v>10.423719145497573</v>
      </c>
      <c r="H83" s="177">
        <f t="shared" si="13"/>
        <v>30.463366108838656</v>
      </c>
      <c r="I83" s="155">
        <f>SUM(Table2B.2_AQ_PA[[#This Row],[NOX]:[VOC]])</f>
        <v>85667.050275494534</v>
      </c>
    </row>
    <row r="84" spans="2:9">
      <c r="B84" s="134">
        <f>First_Year+'Appendix B. Project Information'!B46</f>
        <v>2049</v>
      </c>
      <c r="C84" s="177">
        <f t="shared" si="8"/>
        <v>32.033527447813817</v>
      </c>
      <c r="D84" s="177">
        <f t="shared" si="9"/>
        <v>0.53006409609774885</v>
      </c>
      <c r="E84" s="177">
        <f t="shared" si="10"/>
        <v>2.1033233784375924</v>
      </c>
      <c r="F84" s="177">
        <f t="shared" si="11"/>
        <v>85420.198668083991</v>
      </c>
      <c r="G84" s="177">
        <f t="shared" si="12"/>
        <v>10.516235204689439</v>
      </c>
      <c r="H84" s="177">
        <f t="shared" si="13"/>
        <v>30.253621023753642</v>
      </c>
      <c r="I84" s="155">
        <f>SUM(Table2B.2_AQ_PA[[#This Row],[NOX]:[VOC]])</f>
        <v>85495.635439234786</v>
      </c>
    </row>
    <row r="85" spans="2:9">
      <c r="B85" s="134">
        <f>First_Year+'Appendix B. Project Information'!B47</f>
        <v>2050</v>
      </c>
      <c r="C85" s="177">
        <f t="shared" si="8"/>
        <v>31.342919482708307</v>
      </c>
      <c r="D85" s="177">
        <f t="shared" si="9"/>
        <v>0.52888249703391133</v>
      </c>
      <c r="E85" s="177">
        <f t="shared" si="10"/>
        <v>2.094066314407705</v>
      </c>
      <c r="F85" s="177">
        <f t="shared" si="11"/>
        <v>85249.602107478349</v>
      </c>
      <c r="G85" s="177">
        <f t="shared" si="12"/>
        <v>10.608751263881304</v>
      </c>
      <c r="H85" s="177">
        <f t="shared" si="13"/>
        <v>30.043875938668627</v>
      </c>
      <c r="I85" s="155">
        <f>SUM(Table2B.2_AQ_PA[[#This Row],[NOX]:[VOC]])</f>
        <v>85324.220602975052</v>
      </c>
    </row>
    <row r="86" spans="2:9">
      <c r="B86" s="134">
        <f>First_Year+'Appendix B. Project Information'!B48</f>
        <v>2051</v>
      </c>
      <c r="C86" s="177">
        <f t="shared" si="8"/>
        <v>30.652311517602797</v>
      </c>
      <c r="D86" s="177">
        <f t="shared" si="9"/>
        <v>0.5277008979700738</v>
      </c>
      <c r="E86" s="177">
        <f t="shared" si="10"/>
        <v>2.0848092503778175</v>
      </c>
      <c r="F86" s="177">
        <f t="shared" si="11"/>
        <v>85079.005546872708</v>
      </c>
      <c r="G86" s="177">
        <f t="shared" si="12"/>
        <v>10.70126732307317</v>
      </c>
      <c r="H86" s="177">
        <f t="shared" si="13"/>
        <v>29.834130853583613</v>
      </c>
      <c r="I86" s="155">
        <f>SUM(Table2B.2_AQ_PA[[#This Row],[NOX]:[VOC]])</f>
        <v>85152.805766715319</v>
      </c>
    </row>
    <row r="87" spans="2:9">
      <c r="B87" s="134">
        <f>First_Year+'Appendix B. Project Information'!B49</f>
        <v>2052</v>
      </c>
      <c r="C87" s="177">
        <f t="shared" si="8"/>
        <v>29.961703552497287</v>
      </c>
      <c r="D87" s="177">
        <f t="shared" si="9"/>
        <v>0.52651929890623628</v>
      </c>
      <c r="E87" s="177">
        <f t="shared" si="10"/>
        <v>2.07555218634793</v>
      </c>
      <c r="F87" s="177">
        <f t="shared" si="11"/>
        <v>84908.408986267066</v>
      </c>
      <c r="G87" s="177">
        <f t="shared" si="12"/>
        <v>10.793783382265035</v>
      </c>
      <c r="H87" s="177">
        <f t="shared" si="13"/>
        <v>29.624385768498598</v>
      </c>
      <c r="I87" s="155">
        <f>SUM(Table2B.2_AQ_PA[[#This Row],[NOX]:[VOC]])</f>
        <v>84981.390930455585</v>
      </c>
    </row>
    <row r="88" spans="2:9" s="132" customFormat="1">
      <c r="B88" s="134">
        <f>First_Year+'Appendix B. Project Information'!B50</f>
        <v>2053</v>
      </c>
      <c r="C88" s="177">
        <f t="shared" si="8"/>
        <v>29.271095587391777</v>
      </c>
      <c r="D88" s="177">
        <f t="shared" si="9"/>
        <v>0.52533769984239875</v>
      </c>
      <c r="E88" s="177">
        <f t="shared" si="10"/>
        <v>2.0662951223180426</v>
      </c>
      <c r="F88" s="177">
        <f t="shared" si="11"/>
        <v>84737.812425661425</v>
      </c>
      <c r="G88" s="177">
        <f t="shared" si="12"/>
        <v>10.886299441456901</v>
      </c>
      <c r="H88" s="177">
        <f t="shared" si="13"/>
        <v>29.414640683413584</v>
      </c>
      <c r="I88" s="155">
        <f>SUM(Table2B.2_AQ_PA[[#This Row],[NOX]:[VOC]])</f>
        <v>84809.976094195852</v>
      </c>
    </row>
    <row r="89" spans="2:9">
      <c r="B89" s="134">
        <f>First_Year+'Appendix B. Project Information'!B51</f>
        <v>2054</v>
      </c>
      <c r="C89" s="177">
        <f t="shared" si="8"/>
        <v>28.580487622286267</v>
      </c>
      <c r="D89" s="177">
        <f t="shared" si="9"/>
        <v>0.52415610077856123</v>
      </c>
      <c r="E89" s="177">
        <f t="shared" si="10"/>
        <v>2.0570380582881551</v>
      </c>
      <c r="F89" s="177">
        <f t="shared" si="11"/>
        <v>84567.215865055783</v>
      </c>
      <c r="G89" s="177">
        <f t="shared" si="12"/>
        <v>10.978815500648766</v>
      </c>
      <c r="H89" s="177">
        <f t="shared" si="13"/>
        <v>29.204895598328569</v>
      </c>
      <c r="I89" s="155">
        <f>SUM(Table2B.2_AQ_PA[[#This Row],[NOX]:[VOC]])</f>
        <v>84638.561257936119</v>
      </c>
    </row>
    <row r="90" spans="2:9">
      <c r="B90" s="134">
        <f>First_Year+'Appendix B. Project Information'!B52</f>
        <v>2055</v>
      </c>
      <c r="C90" s="177">
        <f t="shared" si="8"/>
        <v>27.889879657180757</v>
      </c>
      <c r="D90" s="177">
        <f t="shared" si="9"/>
        <v>0.52297450171472371</v>
      </c>
      <c r="E90" s="177">
        <f t="shared" si="10"/>
        <v>2.0477809942582677</v>
      </c>
      <c r="F90" s="177">
        <f t="shared" si="11"/>
        <v>84396.619304450141</v>
      </c>
      <c r="G90" s="177">
        <f t="shared" si="12"/>
        <v>11.071331559840631</v>
      </c>
      <c r="H90" s="177">
        <f t="shared" si="13"/>
        <v>28.995150513243555</v>
      </c>
      <c r="I90" s="155">
        <f>SUM(Table2B.2_AQ_PA[[#This Row],[NOX]:[VOC]])</f>
        <v>84467.146421676385</v>
      </c>
    </row>
    <row r="91" spans="2:9">
      <c r="B91" s="134">
        <f>First_Year+'Appendix B. Project Information'!B53</f>
        <v>2056</v>
      </c>
      <c r="C91" s="177">
        <f t="shared" si="8"/>
        <v>27.199271692075246</v>
      </c>
      <c r="D91" s="177">
        <f t="shared" si="9"/>
        <v>0.52179290265088618</v>
      </c>
      <c r="E91" s="177">
        <f t="shared" si="10"/>
        <v>2.0385239302283802</v>
      </c>
      <c r="F91" s="177">
        <f t="shared" si="11"/>
        <v>84226.0227438445</v>
      </c>
      <c r="G91" s="177">
        <f t="shared" si="12"/>
        <v>11.163847619032497</v>
      </c>
      <c r="H91" s="177">
        <f t="shared" si="13"/>
        <v>28.785405428158541</v>
      </c>
      <c r="I91" s="155">
        <f>SUM(Table2B.2_AQ_PA[[#This Row],[NOX]:[VOC]])</f>
        <v>84295.731585416652</v>
      </c>
    </row>
    <row r="92" spans="2:9">
      <c r="B92" s="134">
        <f>First_Year+'Appendix B. Project Information'!B54</f>
        <v>2057</v>
      </c>
      <c r="C92" s="177">
        <f t="shared" si="8"/>
        <v>26.508663726969736</v>
      </c>
      <c r="D92" s="177">
        <f t="shared" si="9"/>
        <v>0.52061130358704866</v>
      </c>
      <c r="E92" s="177">
        <f t="shared" si="10"/>
        <v>2.0292668661984927</v>
      </c>
      <c r="F92" s="177">
        <f t="shared" si="11"/>
        <v>84055.426183238858</v>
      </c>
      <c r="G92" s="177">
        <f t="shared" si="12"/>
        <v>11.256363678224362</v>
      </c>
      <c r="H92" s="177">
        <f t="shared" si="13"/>
        <v>28.575660343073526</v>
      </c>
      <c r="I92" s="155">
        <f>SUM(Table2B.2_AQ_PA[[#This Row],[NOX]:[VOC]])</f>
        <v>84124.316749156918</v>
      </c>
    </row>
    <row r="93" spans="2:9">
      <c r="B93" s="134">
        <f>First_Year+'Appendix B. Project Information'!B55</f>
        <v>2058</v>
      </c>
      <c r="C93" s="203">
        <f>28.4385884216935/1.1015</f>
        <v>25.818055761864276</v>
      </c>
      <c r="D93" s="203">
        <f>0.572151819532316/1.1015</f>
        <v>0.51942970452321013</v>
      </c>
      <c r="E93" s="203">
        <f>2.22504079708872/1.1015</f>
        <v>2.0200098021686066</v>
      </c>
      <c r="F93" s="203">
        <f>92399.1398293304/1.1015</f>
        <v>83884.829622633129</v>
      </c>
      <c r="G93" s="203">
        <f>12.500791030764/1.1015</f>
        <v>11.348879737416253</v>
      </c>
      <c r="H93" s="203">
        <f>31.2450556566743/1.1015</f>
        <v>28.365915257988473</v>
      </c>
      <c r="I93" s="155">
        <f>SUM(Table2B.2_AQ_PA[[#This Row],[NOX]:[VOC]])</f>
        <v>83952.901912897098</v>
      </c>
    </row>
    <row r="94" spans="2:9">
      <c r="B94" s="134" t="s">
        <v>28</v>
      </c>
      <c r="C94" s="201">
        <f>SUBTOTAL(109,Table2B.2_AQ_PA[NOX])</f>
        <v>1121.492432391854</v>
      </c>
      <c r="D94" s="201">
        <f>SUBTOTAL(109,Table2B.2_AQ_PA[SOx])</f>
        <v>16.651764404904</v>
      </c>
      <c r="E94" s="201">
        <f>SUBTOTAL(109,Table2B.2_AQ_PA[PM2.5])</f>
        <v>66.924838641124438</v>
      </c>
      <c r="F94" s="201">
        <f>SUBTOTAL(109,Table2B.2_AQ_PA[CO2])</f>
        <v>2679757.1189832524</v>
      </c>
      <c r="G94" s="201">
        <f>SUBTOTAL(109,Table2B.2_AQ_PA[PM10])</f>
        <v>308.79530433568584</v>
      </c>
      <c r="H94" s="201">
        <f>SUBTOTAL(109,Table2B.2_AQ_PA[VOC])</f>
        <v>976.87483756217534</v>
      </c>
      <c r="I94" s="202">
        <f>SUBTOTAL(109,Table2B.2_AQ_PA[Total])</f>
        <v>2682247.858160588</v>
      </c>
    </row>
    <row r="96" spans="2:9">
      <c r="B96" s="63" t="s">
        <v>143</v>
      </c>
    </row>
    <row r="98" spans="2:9">
      <c r="B98" s="133" t="s">
        <v>21</v>
      </c>
      <c r="C98" s="145" t="s">
        <v>130</v>
      </c>
      <c r="D98" s="145" t="s">
        <v>122</v>
      </c>
      <c r="E98" s="145" t="s">
        <v>131</v>
      </c>
      <c r="F98" s="145" t="s">
        <v>132</v>
      </c>
      <c r="G98" s="145" t="s">
        <v>133</v>
      </c>
      <c r="H98" s="145" t="s">
        <v>126</v>
      </c>
      <c r="I98" s="145" t="s">
        <v>28</v>
      </c>
    </row>
    <row r="99" spans="2:9">
      <c r="B99" s="134">
        <f>First_Year+'Appendix B. Project Information'!B20</f>
        <v>2023</v>
      </c>
      <c r="C99" s="155">
        <f t="shared" ref="C99:H134" si="14">C17-C58</f>
        <v>0</v>
      </c>
      <c r="D99" s="155">
        <f t="shared" si="14"/>
        <v>0</v>
      </c>
      <c r="E99" s="155">
        <f t="shared" si="14"/>
        <v>0</v>
      </c>
      <c r="F99" s="155">
        <f t="shared" si="14"/>
        <v>0</v>
      </c>
      <c r="G99" s="155">
        <f t="shared" si="14"/>
        <v>0</v>
      </c>
      <c r="H99" s="155">
        <f t="shared" si="14"/>
        <v>0</v>
      </c>
      <c r="I99" s="155">
        <f>SUM(Table2B.3_AQ_Dif[[#This Row],[NOX]:[VOC]])</f>
        <v>0</v>
      </c>
    </row>
    <row r="100" spans="2:9">
      <c r="B100" s="134">
        <f>First_Year+'Appendix B. Project Information'!B21</f>
        <v>2024</v>
      </c>
      <c r="C100" s="155">
        <f t="shared" si="14"/>
        <v>0</v>
      </c>
      <c r="D100" s="155">
        <f t="shared" ref="D100:H100" si="15">D18-D59</f>
        <v>0</v>
      </c>
      <c r="E100" s="155">
        <f t="shared" si="15"/>
        <v>0</v>
      </c>
      <c r="F100" s="155">
        <f t="shared" si="15"/>
        <v>0</v>
      </c>
      <c r="G100" s="155">
        <f t="shared" si="15"/>
        <v>0</v>
      </c>
      <c r="H100" s="155">
        <f t="shared" si="15"/>
        <v>0</v>
      </c>
      <c r="I100" s="155">
        <f>SUM(Table2B.3_AQ_Dif[[#This Row],[NOX]:[VOC]])</f>
        <v>0</v>
      </c>
    </row>
    <row r="101" spans="2:9">
      <c r="B101" s="134">
        <f>First_Year+'Appendix B. Project Information'!B22</f>
        <v>2025</v>
      </c>
      <c r="C101" s="155">
        <f t="shared" si="14"/>
        <v>0</v>
      </c>
      <c r="D101" s="155">
        <f t="shared" ref="D101:H101" si="16">D19-D60</f>
        <v>0</v>
      </c>
      <c r="E101" s="155">
        <f t="shared" si="16"/>
        <v>0</v>
      </c>
      <c r="F101" s="155">
        <f t="shared" si="16"/>
        <v>0</v>
      </c>
      <c r="G101" s="155">
        <f t="shared" si="16"/>
        <v>0</v>
      </c>
      <c r="H101" s="155">
        <f t="shared" si="16"/>
        <v>0</v>
      </c>
      <c r="I101" s="155">
        <f>SUM(Table2B.3_AQ_Dif[[#This Row],[NOX]:[VOC]])</f>
        <v>0</v>
      </c>
    </row>
    <row r="102" spans="2:9">
      <c r="B102" s="134">
        <f>First_Year+'Appendix B. Project Information'!B23</f>
        <v>2026</v>
      </c>
      <c r="C102" s="155">
        <f t="shared" si="14"/>
        <v>0</v>
      </c>
      <c r="D102" s="155">
        <f t="shared" ref="D102:H102" si="17">D20-D61</f>
        <v>0</v>
      </c>
      <c r="E102" s="155">
        <f t="shared" si="17"/>
        <v>0</v>
      </c>
      <c r="F102" s="155">
        <f t="shared" si="17"/>
        <v>0</v>
      </c>
      <c r="G102" s="155">
        <f t="shared" si="17"/>
        <v>0</v>
      </c>
      <c r="H102" s="155">
        <f t="shared" si="17"/>
        <v>0</v>
      </c>
      <c r="I102" s="155">
        <f>SUM(Table2B.3_AQ_Dif[[#This Row],[NOX]:[VOC]])</f>
        <v>0</v>
      </c>
    </row>
    <row r="103" spans="2:9">
      <c r="B103" s="134">
        <f>First_Year+'Appendix B. Project Information'!B24</f>
        <v>2027</v>
      </c>
      <c r="C103" s="155">
        <f t="shared" si="14"/>
        <v>0</v>
      </c>
      <c r="D103" s="155">
        <f t="shared" ref="D103:H103" si="18">D21-D62</f>
        <v>0</v>
      </c>
      <c r="E103" s="155">
        <f t="shared" si="18"/>
        <v>0</v>
      </c>
      <c r="F103" s="155">
        <f t="shared" si="18"/>
        <v>0</v>
      </c>
      <c r="G103" s="155">
        <f t="shared" si="18"/>
        <v>0</v>
      </c>
      <c r="H103" s="155">
        <f t="shared" si="18"/>
        <v>0</v>
      </c>
      <c r="I103" s="155">
        <f>SUM(Table2B.3_AQ_Dif[[#This Row],[NOX]:[VOC]])</f>
        <v>0</v>
      </c>
    </row>
    <row r="104" spans="2:9">
      <c r="B104" s="134">
        <f>First_Year+'Appendix B. Project Information'!B25</f>
        <v>2028</v>
      </c>
      <c r="C104" s="155">
        <f t="shared" si="14"/>
        <v>0.15562486807289133</v>
      </c>
      <c r="D104" s="155">
        <f t="shared" ref="D104:H104" si="19">D22-D63</f>
        <v>6.098526486918443E-4</v>
      </c>
      <c r="E104" s="155">
        <f t="shared" si="19"/>
        <v>1.5712956801643418E-2</v>
      </c>
      <c r="F104" s="155">
        <f t="shared" si="19"/>
        <v>100.78353768905799</v>
      </c>
      <c r="G104" s="155">
        <f t="shared" si="19"/>
        <v>9.714330859678455E-2</v>
      </c>
      <c r="H104" s="155">
        <f t="shared" si="19"/>
        <v>5.7291188809081461E-2</v>
      </c>
      <c r="I104" s="155">
        <f>SUM(Table2B.3_AQ_Dif[[#This Row],[NOX]:[VOC]])</f>
        <v>101.10991986398707</v>
      </c>
    </row>
    <row r="105" spans="2:9">
      <c r="B105" s="134">
        <f>First_Year+'Appendix B. Project Information'!B26</f>
        <v>2029</v>
      </c>
      <c r="C105" s="155">
        <f t="shared" si="14"/>
        <v>0.21753786367492722</v>
      </c>
      <c r="D105" s="155">
        <f t="shared" ref="D105:H105" si="20">D23-D64</f>
        <v>8.6290926443910454E-4</v>
      </c>
      <c r="E105" s="155">
        <f t="shared" si="20"/>
        <v>2.6931642258805955E-2</v>
      </c>
      <c r="F105" s="155">
        <f t="shared" si="20"/>
        <v>142.64865581862978</v>
      </c>
      <c r="G105" s="155">
        <f t="shared" si="20"/>
        <v>0.18747002095329179</v>
      </c>
      <c r="H105" s="155">
        <f t="shared" si="20"/>
        <v>9.3631387194569982E-2</v>
      </c>
      <c r="I105" s="155">
        <f>SUM(Table2B.3_AQ_Dif[[#This Row],[NOX]:[VOC]])</f>
        <v>143.1750896419758</v>
      </c>
    </row>
    <row r="106" spans="2:9">
      <c r="B106" s="134">
        <f>First_Year+'Appendix B. Project Information'!B27</f>
        <v>2030</v>
      </c>
      <c r="C106" s="155">
        <f t="shared" si="14"/>
        <v>0.27945085927696312</v>
      </c>
      <c r="D106" s="155">
        <f t="shared" ref="D106:H106" si="21">D24-D65</f>
        <v>1.1159658801863648E-3</v>
      </c>
      <c r="E106" s="155">
        <f t="shared" si="21"/>
        <v>3.8150327715968491E-2</v>
      </c>
      <c r="F106" s="155">
        <f t="shared" si="21"/>
        <v>184.51377394820156</v>
      </c>
      <c r="G106" s="155">
        <f t="shared" si="21"/>
        <v>0.27779673330979904</v>
      </c>
      <c r="H106" s="155">
        <f t="shared" si="21"/>
        <v>0.1299715855800585</v>
      </c>
      <c r="I106" s="155">
        <f>SUM(Table2B.3_AQ_Dif[[#This Row],[NOX]:[VOC]])</f>
        <v>185.24025941996453</v>
      </c>
    </row>
    <row r="107" spans="2:9">
      <c r="B107" s="134">
        <f>First_Year+'Appendix B. Project Information'!B28</f>
        <v>2031</v>
      </c>
      <c r="C107" s="155">
        <f t="shared" si="14"/>
        <v>0.34136385487899901</v>
      </c>
      <c r="D107" s="155">
        <f t="shared" ref="D107:H107" si="22">D25-D66</f>
        <v>1.369022495933625E-3</v>
      </c>
      <c r="E107" s="155">
        <f t="shared" si="22"/>
        <v>4.9369013173131027E-2</v>
      </c>
      <c r="F107" s="155">
        <f t="shared" si="22"/>
        <v>226.37889207777334</v>
      </c>
      <c r="G107" s="155">
        <f t="shared" si="22"/>
        <v>0.36812344566630628</v>
      </c>
      <c r="H107" s="155">
        <f t="shared" si="22"/>
        <v>0.16631178396554702</v>
      </c>
      <c r="I107" s="155">
        <f>SUM(Table2B.3_AQ_Dif[[#This Row],[NOX]:[VOC]])</f>
        <v>227.30542919795326</v>
      </c>
    </row>
    <row r="108" spans="2:9">
      <c r="B108" s="134">
        <f>First_Year+'Appendix B. Project Information'!B29</f>
        <v>2032</v>
      </c>
      <c r="C108" s="155">
        <f t="shared" si="14"/>
        <v>0.4032768504810349</v>
      </c>
      <c r="D108" s="155">
        <f t="shared" ref="D108:H108" si="23">D26-D67</f>
        <v>1.6220791116808853E-3</v>
      </c>
      <c r="E108" s="155">
        <f t="shared" si="23"/>
        <v>6.0587698630293563E-2</v>
      </c>
      <c r="F108" s="155">
        <f t="shared" si="23"/>
        <v>268.24401020734513</v>
      </c>
      <c r="G108" s="155">
        <f t="shared" si="23"/>
        <v>0.45845015802281353</v>
      </c>
      <c r="H108" s="155">
        <f t="shared" si="23"/>
        <v>0.20265198235103554</v>
      </c>
      <c r="I108" s="155">
        <f>SUM(Table2B.3_AQ_Dif[[#This Row],[NOX]:[VOC]])</f>
        <v>269.37059897594196</v>
      </c>
    </row>
    <row r="109" spans="2:9">
      <c r="B109" s="134">
        <f>First_Year+'Appendix B. Project Information'!B30</f>
        <v>2033</v>
      </c>
      <c r="C109" s="155">
        <f t="shared" si="14"/>
        <v>0.46518984608307079</v>
      </c>
      <c r="D109" s="155">
        <f t="shared" ref="D109:H109" si="24">D27-D68</f>
        <v>1.8751357274281455E-3</v>
      </c>
      <c r="E109" s="155">
        <f t="shared" si="24"/>
        <v>7.1806384087456099E-2</v>
      </c>
      <c r="F109" s="155">
        <f t="shared" si="24"/>
        <v>310.10912833691691</v>
      </c>
      <c r="G109" s="155">
        <f t="shared" si="24"/>
        <v>0.54877687037932077</v>
      </c>
      <c r="H109" s="155">
        <f t="shared" si="24"/>
        <v>0.23899218073652406</v>
      </c>
      <c r="I109" s="155">
        <f>SUM(Table2B.3_AQ_Dif[[#This Row],[NOX]:[VOC]])</f>
        <v>311.43576875393069</v>
      </c>
    </row>
    <row r="110" spans="2:9">
      <c r="B110" s="134">
        <f>First_Year+'Appendix B. Project Information'!B31</f>
        <v>2034</v>
      </c>
      <c r="C110" s="155">
        <f t="shared" si="14"/>
        <v>0.52710284168510668</v>
      </c>
      <c r="D110" s="155">
        <f t="shared" ref="D110:H110" si="25">D28-D69</f>
        <v>2.1281923431754057E-3</v>
      </c>
      <c r="E110" s="155">
        <f t="shared" si="25"/>
        <v>8.3025069544618635E-2</v>
      </c>
      <c r="F110" s="155">
        <f t="shared" si="25"/>
        <v>351.97424646648869</v>
      </c>
      <c r="G110" s="155">
        <f t="shared" si="25"/>
        <v>0.63910358273582801</v>
      </c>
      <c r="H110" s="155">
        <f t="shared" si="25"/>
        <v>0.27533237912201258</v>
      </c>
      <c r="I110" s="155">
        <f>SUM(Table2B.3_AQ_Dif[[#This Row],[NOX]:[VOC]])</f>
        <v>353.50093853191947</v>
      </c>
    </row>
    <row r="111" spans="2:9">
      <c r="B111" s="134">
        <f>First_Year+'Appendix B. Project Information'!B32</f>
        <v>2035</v>
      </c>
      <c r="C111" s="155">
        <f t="shared" si="14"/>
        <v>0.58901583728714257</v>
      </c>
      <c r="D111" s="155">
        <f t="shared" ref="D111:H111" si="26">D29-D70</f>
        <v>2.381248958922666E-3</v>
      </c>
      <c r="E111" s="155">
        <f t="shared" si="26"/>
        <v>9.4243755001781171E-2</v>
      </c>
      <c r="F111" s="155">
        <f t="shared" si="26"/>
        <v>393.83936459606048</v>
      </c>
      <c r="G111" s="155">
        <f t="shared" si="26"/>
        <v>0.72943029509233526</v>
      </c>
      <c r="H111" s="155">
        <f t="shared" si="26"/>
        <v>0.3116725775075011</v>
      </c>
      <c r="I111" s="155">
        <f>SUM(Table2B.3_AQ_Dif[[#This Row],[NOX]:[VOC]])</f>
        <v>395.5661083099082</v>
      </c>
    </row>
    <row r="112" spans="2:9">
      <c r="B112" s="134">
        <f>First_Year+'Appendix B. Project Information'!B33</f>
        <v>2036</v>
      </c>
      <c r="C112" s="155">
        <f t="shared" si="14"/>
        <v>0.65092883288917847</v>
      </c>
      <c r="D112" s="155">
        <f t="shared" ref="D112:H112" si="27">D30-D71</f>
        <v>2.6343055746699262E-3</v>
      </c>
      <c r="E112" s="155">
        <f t="shared" si="27"/>
        <v>0.10546244045894371</v>
      </c>
      <c r="F112" s="155">
        <f t="shared" si="27"/>
        <v>435.70448272563226</v>
      </c>
      <c r="G112" s="155">
        <f t="shared" si="27"/>
        <v>0.8197570074488425</v>
      </c>
      <c r="H112" s="155">
        <f t="shared" si="27"/>
        <v>0.34801277589298962</v>
      </c>
      <c r="I112" s="155">
        <f>SUM(Table2B.3_AQ_Dif[[#This Row],[NOX]:[VOC]])</f>
        <v>437.63127808789687</v>
      </c>
    </row>
    <row r="113" spans="2:9">
      <c r="B113" s="134">
        <f>First_Year+'Appendix B. Project Information'!B34</f>
        <v>2037</v>
      </c>
      <c r="C113" s="155">
        <f t="shared" si="14"/>
        <v>0.71284182849121436</v>
      </c>
      <c r="D113" s="155">
        <f t="shared" ref="D113:H113" si="28">D31-D72</f>
        <v>2.8873621904171864E-3</v>
      </c>
      <c r="E113" s="155">
        <f t="shared" si="28"/>
        <v>0.11668112591610624</v>
      </c>
      <c r="F113" s="155">
        <f t="shared" si="28"/>
        <v>477.56960085520404</v>
      </c>
      <c r="G113" s="155">
        <f t="shared" si="28"/>
        <v>0.91008371980534974</v>
      </c>
      <c r="H113" s="155">
        <f t="shared" si="28"/>
        <v>0.38435297427847814</v>
      </c>
      <c r="I113" s="155">
        <f>SUM(Table2B.3_AQ_Dif[[#This Row],[NOX]:[VOC]])</f>
        <v>479.69644786588566</v>
      </c>
    </row>
    <row r="114" spans="2:9">
      <c r="B114" s="134">
        <f>First_Year+'Appendix B. Project Information'!B35</f>
        <v>2038</v>
      </c>
      <c r="C114" s="155">
        <f t="shared" si="14"/>
        <v>0.77475482409325025</v>
      </c>
      <c r="D114" s="155">
        <f t="shared" ref="D114:H114" si="29">D32-D73</f>
        <v>3.1404188061644467E-3</v>
      </c>
      <c r="E114" s="155">
        <f t="shared" si="29"/>
        <v>0.12789981137326878</v>
      </c>
      <c r="F114" s="155">
        <f t="shared" si="29"/>
        <v>519.43471898477583</v>
      </c>
      <c r="G114" s="155">
        <f t="shared" si="29"/>
        <v>1.000410432161857</v>
      </c>
      <c r="H114" s="155">
        <f t="shared" si="29"/>
        <v>0.42069317266396666</v>
      </c>
      <c r="I114" s="155">
        <f>SUM(Table2B.3_AQ_Dif[[#This Row],[NOX]:[VOC]])</f>
        <v>521.76161764387427</v>
      </c>
    </row>
    <row r="115" spans="2:9">
      <c r="B115" s="134">
        <f>First_Year+'Appendix B. Project Information'!B36</f>
        <v>2039</v>
      </c>
      <c r="C115" s="155">
        <f t="shared" si="14"/>
        <v>0.83666781969528614</v>
      </c>
      <c r="D115" s="155">
        <f t="shared" ref="D115:H115" si="30">D33-D74</f>
        <v>3.3934754219117069E-3</v>
      </c>
      <c r="E115" s="155">
        <f t="shared" si="30"/>
        <v>0.13911849683043132</v>
      </c>
      <c r="F115" s="155">
        <f t="shared" si="30"/>
        <v>561.29983711434761</v>
      </c>
      <c r="G115" s="155">
        <f t="shared" si="30"/>
        <v>1.0907371445183642</v>
      </c>
      <c r="H115" s="155">
        <f t="shared" si="30"/>
        <v>0.45703337104945518</v>
      </c>
      <c r="I115" s="155">
        <f>SUM(Table2B.3_AQ_Dif[[#This Row],[NOX]:[VOC]])</f>
        <v>563.82678742186306</v>
      </c>
    </row>
    <row r="116" spans="2:9">
      <c r="B116" s="134">
        <f>First_Year+'Appendix B. Project Information'!B37</f>
        <v>2040</v>
      </c>
      <c r="C116" s="155">
        <f t="shared" si="14"/>
        <v>0.89858081529732203</v>
      </c>
      <c r="D116" s="155">
        <f t="shared" ref="D116:H116" si="31">D34-D75</f>
        <v>3.6465320376589672E-3</v>
      </c>
      <c r="E116" s="155">
        <f t="shared" si="31"/>
        <v>0.15033718228759385</v>
      </c>
      <c r="F116" s="155">
        <f t="shared" si="31"/>
        <v>603.16495524391939</v>
      </c>
      <c r="G116" s="155">
        <f t="shared" si="31"/>
        <v>1.1810638568748715</v>
      </c>
      <c r="H116" s="155">
        <f t="shared" si="31"/>
        <v>0.4933735694349437</v>
      </c>
      <c r="I116" s="155">
        <f>SUM(Table2B.3_AQ_Dif[[#This Row],[NOX]:[VOC]])</f>
        <v>605.89195719985184</v>
      </c>
    </row>
    <row r="117" spans="2:9">
      <c r="B117" s="134">
        <f>First_Year+'Appendix B. Project Information'!B38</f>
        <v>2041</v>
      </c>
      <c r="C117" s="155">
        <f t="shared" si="14"/>
        <v>0.96049381089935792</v>
      </c>
      <c r="D117" s="155">
        <f t="shared" ref="D117:H117" si="32">D35-D76</f>
        <v>3.8995886534062274E-3</v>
      </c>
      <c r="E117" s="155">
        <f t="shared" si="32"/>
        <v>0.16155586774475639</v>
      </c>
      <c r="F117" s="155">
        <f t="shared" si="32"/>
        <v>645.03007337349118</v>
      </c>
      <c r="G117" s="155">
        <f t="shared" si="32"/>
        <v>1.2713905692313787</v>
      </c>
      <c r="H117" s="155">
        <f t="shared" si="32"/>
        <v>0.52971376782043578</v>
      </c>
      <c r="I117" s="155">
        <f>SUM(Table2B.3_AQ_Dif[[#This Row],[NOX]:[VOC]])</f>
        <v>647.95712697784052</v>
      </c>
    </row>
    <row r="118" spans="2:9">
      <c r="B118" s="134">
        <f>First_Year+'Appendix B. Project Information'!B39</f>
        <v>2042</v>
      </c>
      <c r="C118" s="155">
        <f t="shared" si="14"/>
        <v>1.0224068065013938</v>
      </c>
      <c r="D118" s="155">
        <f t="shared" ref="D118:H118" si="33">D36-D77</f>
        <v>4.1526452691534876E-3</v>
      </c>
      <c r="E118" s="155">
        <f t="shared" si="33"/>
        <v>0.17277455320191892</v>
      </c>
      <c r="F118" s="155">
        <f t="shared" si="33"/>
        <v>686.89519150306296</v>
      </c>
      <c r="G118" s="155">
        <f t="shared" si="33"/>
        <v>1.361717281587886</v>
      </c>
      <c r="H118" s="155">
        <f t="shared" si="33"/>
        <v>0.56605396620592785</v>
      </c>
      <c r="I118" s="155">
        <f>SUM(Table2B.3_AQ_Dif[[#This Row],[NOX]:[VOC]])</f>
        <v>690.02229675582919</v>
      </c>
    </row>
    <row r="119" spans="2:9">
      <c r="B119" s="134">
        <f>First_Year+'Appendix B. Project Information'!B40</f>
        <v>2043</v>
      </c>
      <c r="C119" s="155">
        <f t="shared" si="14"/>
        <v>1.0843198021034297</v>
      </c>
      <c r="D119" s="155">
        <f t="shared" ref="D119:H119" si="34">D37-D78</f>
        <v>4.4057018849007479E-3</v>
      </c>
      <c r="E119" s="155">
        <f t="shared" si="34"/>
        <v>0.18399323865908146</v>
      </c>
      <c r="F119" s="155">
        <f t="shared" si="34"/>
        <v>728.76030963263474</v>
      </c>
      <c r="G119" s="155">
        <f t="shared" si="34"/>
        <v>1.4520439939443932</v>
      </c>
      <c r="H119" s="155">
        <f t="shared" si="34"/>
        <v>0.60239416459141992</v>
      </c>
      <c r="I119" s="155">
        <f>SUM(Table2B.3_AQ_Dif[[#This Row],[NOX]:[VOC]])</f>
        <v>732.08746653381786</v>
      </c>
    </row>
    <row r="120" spans="2:9">
      <c r="B120" s="134">
        <f>First_Year+'Appendix B. Project Information'!B41</f>
        <v>2044</v>
      </c>
      <c r="C120" s="155">
        <f t="shared" si="14"/>
        <v>1.1462327977054656</v>
      </c>
      <c r="D120" s="155">
        <f t="shared" ref="D120:H120" si="35">D38-D79</f>
        <v>4.6587585006480081E-3</v>
      </c>
      <c r="E120" s="155">
        <f t="shared" si="35"/>
        <v>0.195211924116244</v>
      </c>
      <c r="F120" s="155">
        <f t="shared" si="35"/>
        <v>770.62542776220653</v>
      </c>
      <c r="G120" s="155">
        <f t="shared" si="35"/>
        <v>1.5423707063009005</v>
      </c>
      <c r="H120" s="155">
        <f t="shared" si="35"/>
        <v>0.638734362976912</v>
      </c>
      <c r="I120" s="155">
        <f>SUM(Table2B.3_AQ_Dif[[#This Row],[NOX]:[VOC]])</f>
        <v>774.15263631180665</v>
      </c>
    </row>
    <row r="121" spans="2:9">
      <c r="B121" s="134">
        <f>First_Year+'Appendix B. Project Information'!B42</f>
        <v>2045</v>
      </c>
      <c r="C121" s="155">
        <f t="shared" si="14"/>
        <v>1.2081457933075015</v>
      </c>
      <c r="D121" s="155">
        <f t="shared" ref="D121:H121" si="36">D39-D80</f>
        <v>4.9118151163952684E-3</v>
      </c>
      <c r="E121" s="155">
        <f t="shared" si="36"/>
        <v>0.20643060957340653</v>
      </c>
      <c r="F121" s="155">
        <f t="shared" si="36"/>
        <v>812.49054589177831</v>
      </c>
      <c r="G121" s="155">
        <f t="shared" si="36"/>
        <v>1.6326974186574077</v>
      </c>
      <c r="H121" s="155">
        <f t="shared" si="36"/>
        <v>0.67507456136240407</v>
      </c>
      <c r="I121" s="155">
        <f>SUM(Table2B.3_AQ_Dif[[#This Row],[NOX]:[VOC]])</f>
        <v>816.21780608979543</v>
      </c>
    </row>
    <row r="122" spans="2:9">
      <c r="B122" s="134">
        <f>First_Year+'Appendix B. Project Information'!B43</f>
        <v>2046</v>
      </c>
      <c r="C122" s="155">
        <f t="shared" si="14"/>
        <v>1.2700587889095374</v>
      </c>
      <c r="D122" s="155">
        <f t="shared" ref="D122:H122" si="37">D40-D81</f>
        <v>5.1648717321425286E-3</v>
      </c>
      <c r="E122" s="155">
        <f t="shared" si="37"/>
        <v>0.21764929503056907</v>
      </c>
      <c r="F122" s="155">
        <f t="shared" si="37"/>
        <v>854.35566402135009</v>
      </c>
      <c r="G122" s="155">
        <f t="shared" si="37"/>
        <v>1.7230241310139149</v>
      </c>
      <c r="H122" s="155">
        <f t="shared" si="37"/>
        <v>0.71141475974789614</v>
      </c>
      <c r="I122" s="155">
        <f>SUM(Table2B.3_AQ_Dif[[#This Row],[NOX]:[VOC]])</f>
        <v>858.28297586778422</v>
      </c>
    </row>
    <row r="123" spans="2:9">
      <c r="B123" s="134">
        <f>First_Year+'Appendix B. Project Information'!B44</f>
        <v>2047</v>
      </c>
      <c r="C123" s="155">
        <f t="shared" si="14"/>
        <v>1.3319717845115733</v>
      </c>
      <c r="D123" s="155">
        <f t="shared" ref="D123:H123" si="38">D41-D82</f>
        <v>5.4179283478897888E-3</v>
      </c>
      <c r="E123" s="155">
        <f t="shared" si="38"/>
        <v>0.2288679804877316</v>
      </c>
      <c r="F123" s="155">
        <f t="shared" si="38"/>
        <v>896.22078215092188</v>
      </c>
      <c r="G123" s="155">
        <f t="shared" si="38"/>
        <v>1.8133508433704222</v>
      </c>
      <c r="H123" s="155">
        <f t="shared" si="38"/>
        <v>0.74775495813338821</v>
      </c>
      <c r="I123" s="155">
        <f>SUM(Table2B.3_AQ_Dif[[#This Row],[NOX]:[VOC]])</f>
        <v>900.348145645773</v>
      </c>
    </row>
    <row r="124" spans="2:9">
      <c r="B124" s="134">
        <f>First_Year+'Appendix B. Project Information'!B45</f>
        <v>2048</v>
      </c>
      <c r="C124" s="155">
        <f t="shared" si="14"/>
        <v>1.3938847801136092</v>
      </c>
      <c r="D124" s="155">
        <f t="shared" ref="D124:H124" si="39">D42-D83</f>
        <v>5.6709849636370491E-3</v>
      </c>
      <c r="E124" s="155">
        <f t="shared" si="39"/>
        <v>0.24008666594489414</v>
      </c>
      <c r="F124" s="155">
        <f t="shared" si="39"/>
        <v>938.08590028049366</v>
      </c>
      <c r="G124" s="155">
        <f t="shared" si="39"/>
        <v>1.9036775557269294</v>
      </c>
      <c r="H124" s="155">
        <f t="shared" si="39"/>
        <v>0.78409515651888029</v>
      </c>
      <c r="I124" s="155">
        <f>SUM(Table2B.3_AQ_Dif[[#This Row],[NOX]:[VOC]])</f>
        <v>942.41331542376167</v>
      </c>
    </row>
    <row r="125" spans="2:9">
      <c r="B125" s="134">
        <f>First_Year+'Appendix B. Project Information'!B46</f>
        <v>2049</v>
      </c>
      <c r="C125" s="155">
        <f t="shared" si="14"/>
        <v>1.4557977757156451</v>
      </c>
      <c r="D125" s="155">
        <f t="shared" ref="D125:H125" si="40">D43-D84</f>
        <v>5.9240415793843093E-3</v>
      </c>
      <c r="E125" s="155">
        <f t="shared" si="40"/>
        <v>0.25130535140205668</v>
      </c>
      <c r="F125" s="155">
        <f t="shared" si="40"/>
        <v>979.95101841006544</v>
      </c>
      <c r="G125" s="155">
        <f t="shared" si="40"/>
        <v>1.9940042680834367</v>
      </c>
      <c r="H125" s="155">
        <f t="shared" si="40"/>
        <v>0.82043535490437236</v>
      </c>
      <c r="I125" s="155">
        <f>SUM(Table2B.3_AQ_Dif[[#This Row],[NOX]:[VOC]])</f>
        <v>984.47848520175035</v>
      </c>
    </row>
    <row r="126" spans="2:9">
      <c r="B126" s="134">
        <f>First_Year+'Appendix B. Project Information'!B47</f>
        <v>2050</v>
      </c>
      <c r="C126" s="155">
        <f t="shared" si="14"/>
        <v>1.5177107713176774</v>
      </c>
      <c r="D126" s="155">
        <f t="shared" ref="D126:H126" si="41">D44-D85</f>
        <v>6.1770981951315695E-3</v>
      </c>
      <c r="E126" s="155">
        <f t="shared" si="41"/>
        <v>0.26252403685921921</v>
      </c>
      <c r="F126" s="155">
        <f t="shared" si="41"/>
        <v>1021.8161365396372</v>
      </c>
      <c r="G126" s="155">
        <f t="shared" si="41"/>
        <v>2.0843309804399439</v>
      </c>
      <c r="H126" s="155">
        <f t="shared" si="41"/>
        <v>0.85677555328986443</v>
      </c>
      <c r="I126" s="155">
        <f>SUM(Table2B.3_AQ_Dif[[#This Row],[NOX]:[VOC]])</f>
        <v>1026.5436549797391</v>
      </c>
    </row>
    <row r="127" spans="2:9">
      <c r="B127" s="134">
        <f>First_Year+'Appendix B. Project Information'!B48</f>
        <v>2051</v>
      </c>
      <c r="C127" s="155">
        <f t="shared" si="14"/>
        <v>1.5796237669197097</v>
      </c>
      <c r="D127" s="155">
        <f t="shared" ref="D127:H127" si="42">D45-D86</f>
        <v>6.4301548108788298E-3</v>
      </c>
      <c r="E127" s="155">
        <f t="shared" si="42"/>
        <v>0.27374272231638175</v>
      </c>
      <c r="F127" s="155">
        <f t="shared" si="42"/>
        <v>1063.681254669209</v>
      </c>
      <c r="G127" s="155">
        <f t="shared" si="42"/>
        <v>2.1746576927964512</v>
      </c>
      <c r="H127" s="155">
        <f t="shared" si="42"/>
        <v>0.89311575167535651</v>
      </c>
      <c r="I127" s="155">
        <f>SUM(Table2B.3_AQ_Dif[[#This Row],[NOX]:[VOC]])</f>
        <v>1068.6088247577279</v>
      </c>
    </row>
    <row r="128" spans="2:9">
      <c r="B128" s="134">
        <f>First_Year+'Appendix B. Project Information'!B49</f>
        <v>2052</v>
      </c>
      <c r="C128" s="155">
        <f t="shared" si="14"/>
        <v>1.6415367625217385</v>
      </c>
      <c r="D128" s="155">
        <f t="shared" ref="D128:H128" si="43">D46-D87</f>
        <v>6.68321142662609E-3</v>
      </c>
      <c r="E128" s="155">
        <f t="shared" si="43"/>
        <v>0.28496140777354428</v>
      </c>
      <c r="F128" s="155">
        <f t="shared" si="43"/>
        <v>1105.5463727987808</v>
      </c>
      <c r="G128" s="155">
        <f t="shared" si="43"/>
        <v>2.2649844051529584</v>
      </c>
      <c r="H128" s="155">
        <f t="shared" si="43"/>
        <v>0.92945595006084858</v>
      </c>
      <c r="I128" s="155">
        <f>SUM(Table2B.3_AQ_Dif[[#This Row],[NOX]:[VOC]])</f>
        <v>1110.6739945357165</v>
      </c>
    </row>
    <row r="129" spans="2:9">
      <c r="B129" s="134">
        <f>First_Year+'Appendix B. Project Information'!B50</f>
        <v>2053</v>
      </c>
      <c r="C129" s="155">
        <f t="shared" si="14"/>
        <v>1.7034497581237673</v>
      </c>
      <c r="D129" s="155">
        <f t="shared" ref="D129:H129" si="44">D47-D88</f>
        <v>6.9362680423733503E-3</v>
      </c>
      <c r="E129" s="155">
        <f t="shared" si="44"/>
        <v>0.29618009323070682</v>
      </c>
      <c r="F129" s="155">
        <f t="shared" si="44"/>
        <v>1147.4114909283526</v>
      </c>
      <c r="G129" s="155">
        <f t="shared" si="44"/>
        <v>2.3553111175094656</v>
      </c>
      <c r="H129" s="155">
        <f t="shared" si="44"/>
        <v>0.96579614844634065</v>
      </c>
      <c r="I129" s="155">
        <f>SUM(Table2B.3_AQ_Dif[[#This Row],[NOX]:[VOC]])</f>
        <v>1152.7391643137053</v>
      </c>
    </row>
    <row r="130" spans="2:9">
      <c r="B130" s="134">
        <f>First_Year+'Appendix B. Project Information'!B51</f>
        <v>2054</v>
      </c>
      <c r="C130" s="155">
        <f t="shared" si="14"/>
        <v>1.7653627537257961</v>
      </c>
      <c r="D130" s="155">
        <f t="shared" ref="D130:H130" si="45">D48-D89</f>
        <v>7.1893246581206105E-3</v>
      </c>
      <c r="E130" s="155">
        <f t="shared" si="45"/>
        <v>0.30739877868786936</v>
      </c>
      <c r="F130" s="155">
        <f t="shared" si="45"/>
        <v>1189.2766090579244</v>
      </c>
      <c r="G130" s="155">
        <f t="shared" si="45"/>
        <v>2.4456378298659729</v>
      </c>
      <c r="H130" s="155">
        <f t="shared" si="45"/>
        <v>1.0021363468318327</v>
      </c>
      <c r="I130" s="155">
        <f>SUM(Table2B.3_AQ_Dif[[#This Row],[NOX]:[VOC]])</f>
        <v>1194.8043340916938</v>
      </c>
    </row>
    <row r="131" spans="2:9">
      <c r="B131" s="134">
        <f>First_Year+'Appendix B. Project Information'!B52</f>
        <v>2055</v>
      </c>
      <c r="C131" s="155">
        <f t="shared" si="14"/>
        <v>1.8272757493278249</v>
      </c>
      <c r="D131" s="155">
        <f t="shared" ref="D131:H131" si="46">D49-D90</f>
        <v>7.4423812738678707E-3</v>
      </c>
      <c r="E131" s="155">
        <f t="shared" si="46"/>
        <v>0.31861746414503189</v>
      </c>
      <c r="F131" s="155">
        <f t="shared" si="46"/>
        <v>1231.1417271874961</v>
      </c>
      <c r="G131" s="155">
        <f t="shared" si="46"/>
        <v>2.5359645422224801</v>
      </c>
      <c r="H131" s="155">
        <f t="shared" si="46"/>
        <v>1.0384765452173248</v>
      </c>
      <c r="I131" s="155">
        <f>SUM(Table2B.3_AQ_Dif[[#This Row],[NOX]:[VOC]])</f>
        <v>1236.8695038696826</v>
      </c>
    </row>
    <row r="132" spans="2:9">
      <c r="B132" s="134">
        <f>First_Year+'Appendix B. Project Information'!B53</f>
        <v>2056</v>
      </c>
      <c r="C132" s="155">
        <f t="shared" si="14"/>
        <v>1.8891887449298537</v>
      </c>
      <c r="D132" s="155">
        <f t="shared" ref="D132:H132" si="47">D50-D91</f>
        <v>7.695437889615131E-3</v>
      </c>
      <c r="E132" s="155">
        <f t="shared" si="47"/>
        <v>0.32983614960219443</v>
      </c>
      <c r="F132" s="155">
        <f t="shared" si="47"/>
        <v>1273.0068453170679</v>
      </c>
      <c r="G132" s="155">
        <f t="shared" si="47"/>
        <v>2.6262912545789874</v>
      </c>
      <c r="H132" s="155">
        <f t="shared" si="47"/>
        <v>1.0748167436028169</v>
      </c>
      <c r="I132" s="155">
        <f>SUM(Table2B.3_AQ_Dif[[#This Row],[NOX]:[VOC]])</f>
        <v>1278.9346736476714</v>
      </c>
    </row>
    <row r="133" spans="2:9">
      <c r="B133" s="134">
        <f>First_Year+'Appendix B. Project Information'!B54</f>
        <v>2057</v>
      </c>
      <c r="C133" s="155">
        <f t="shared" si="14"/>
        <v>1.9511017405318825</v>
      </c>
      <c r="D133" s="155">
        <f t="shared" ref="D133:H133" si="48">D51-D92</f>
        <v>7.9484945053623912E-3</v>
      </c>
      <c r="E133" s="155">
        <f t="shared" si="48"/>
        <v>0.34105483505935696</v>
      </c>
      <c r="F133" s="155">
        <f t="shared" si="48"/>
        <v>1314.8719634466397</v>
      </c>
      <c r="G133" s="155">
        <f t="shared" si="48"/>
        <v>2.7166179669354946</v>
      </c>
      <c r="H133" s="155">
        <f t="shared" si="48"/>
        <v>1.1111569419883089</v>
      </c>
      <c r="I133" s="155">
        <f>SUM(Table2B.3_AQ_Dif[[#This Row],[NOX]:[VOC]])</f>
        <v>1320.9998434256602</v>
      </c>
    </row>
    <row r="134" spans="2:9">
      <c r="B134" s="134">
        <f>First_Year+'Appendix B. Project Information'!B55</f>
        <v>2058</v>
      </c>
      <c r="C134" s="155">
        <f t="shared" si="14"/>
        <v>2.0130147361338189</v>
      </c>
      <c r="D134" s="155">
        <f t="shared" ref="D134:H134" si="49">D52-D93</f>
        <v>8.2015511211103176E-3</v>
      </c>
      <c r="E134" s="155">
        <f t="shared" si="49"/>
        <v>0.35227352051652261</v>
      </c>
      <c r="F134" s="155">
        <f t="shared" si="49"/>
        <v>1356.7370815763134</v>
      </c>
      <c r="G134" s="155">
        <f t="shared" si="49"/>
        <v>2.8069446792919646</v>
      </c>
      <c r="H134" s="155">
        <f t="shared" si="49"/>
        <v>1.1474971403738508</v>
      </c>
      <c r="I134" s="155">
        <f>SUM(Table2B.3_AQ_Dif[[#This Row],[NOX]:[VOC]])</f>
        <v>1363.0650132037506</v>
      </c>
    </row>
    <row r="135" spans="2:9">
      <c r="B135" s="134" t="s">
        <v>28</v>
      </c>
      <c r="C135" s="201">
        <f>SUBTOTAL(109,Table2B.3_AQ_Dif[NOX])</f>
        <v>33.613913865205973</v>
      </c>
      <c r="D135" s="201">
        <f>SUBTOTAL(109,Table2B.3_AQ_Dif[SOx])</f>
        <v>0.13657675843192385</v>
      </c>
      <c r="E135" s="201">
        <f>SUBTOTAL(109,Table2B.3_AQ_Dif[PM2.5])</f>
        <v>5.7037903984315275</v>
      </c>
      <c r="F135" s="201">
        <f>SUBTOTAL(109,Table2B.3_AQ_Dif[CO2])</f>
        <v>22591.569598611779</v>
      </c>
      <c r="G135" s="201">
        <f>SUBTOTAL(109,Table2B.3_AQ_Dif[PM10])</f>
        <v>45.013363812276154</v>
      </c>
      <c r="H135" s="201">
        <f>SUBTOTAL(109,Table2B.3_AQ_Dif[VOC])</f>
        <v>18.674219102334344</v>
      </c>
      <c r="I135" s="202">
        <f>SUBTOTAL(109,Table2B.3_AQ_Dif[Total])</f>
        <v>22694.711462548461</v>
      </c>
    </row>
    <row r="137" spans="2:9">
      <c r="B137" s="63" t="s">
        <v>144</v>
      </c>
    </row>
    <row r="139" spans="2:9">
      <c r="B139" s="133" t="s">
        <v>21</v>
      </c>
      <c r="C139" s="145" t="s">
        <v>130</v>
      </c>
      <c r="D139" s="145" t="s">
        <v>122</v>
      </c>
      <c r="E139" s="145" t="s">
        <v>131</v>
      </c>
      <c r="F139" s="145" t="s">
        <v>132</v>
      </c>
      <c r="G139" s="145" t="s">
        <v>133</v>
      </c>
      <c r="H139" s="145" t="s">
        <v>126</v>
      </c>
      <c r="I139" s="145" t="s">
        <v>28</v>
      </c>
    </row>
    <row r="140" spans="2:9">
      <c r="B140" s="134">
        <f>First_Year+'Appendix B. Project Information'!B20</f>
        <v>2023</v>
      </c>
      <c r="C140" s="162">
        <f>IFERROR(IF(Table2B.4_AQ_Dollars[[#This Row],[Year]]&gt;Closeout,(C99*INDEX(TableA6_Emissions[#All],MATCH(Table2B.4_AQ_Dollars[[#This Row],[Year]],TableA6_Emissions[Year],0),MATCH(Table2B.4_AQ_Dollars[[#Headers],[NOX]],TableA6_Emissions[#Headers],0))),0),0)</f>
        <v>0</v>
      </c>
      <c r="D140" s="162">
        <f>IFERROR(IF(Table2B.4_AQ_Dollars[[#This Row],[Year]]&gt;Closeout,(D99*INDEX(TableA6_Emissions[#All],MATCH(Table2B.4_AQ_Dollars[[#This Row],[Year]],TableA6_Emissions[Year],0),MATCH(Table2B.4_AQ_Dollars[[#Headers],[SOx]],TableA6_Emissions[#Headers],0))),0),0)</f>
        <v>0</v>
      </c>
      <c r="E140" s="162">
        <f>IFERROR(IF(Table2B.4_AQ_Dollars[[#This Row],[Year]]&gt;Closeout,(E99*INDEX(TableA6_Emissions[#All],MATCH(Table2B.4_AQ_Dollars[[#This Row],[Year]],TableA6_Emissions[Year],0),MATCH(Table2B.4_AQ_Dollars[[#Headers],[PM2.5]],TableA6_Emissions[#Headers],0))),0),0)</f>
        <v>0</v>
      </c>
      <c r="F140" s="162">
        <f>IFERROR(IF(Table2B.4_AQ_Dollars[[#This Row],[Year]]&gt;Closeout,F99*INDEX(TableA6_Emissions[#All],MATCH(Table2B.4_AQ_Dollars[[#This Row],[Year]],TableA6_Emissions[Year],0),MATCH(Table2B.4_AQ_Dollars[[#Headers],[CO2]],TableA6_Emissions[#Headers],0)),0),0)</f>
        <v>0</v>
      </c>
      <c r="G140" s="162">
        <f>IFERROR(G99*INDEX(TableA6_Emissions[#All],MATCH(Table2B.4_AQ_Dollars[[#This Row],[Year]],TableA6_Emissions[Year],0),MATCH(Table2B.4_AQ_Dollars[[#Headers],[PM10]],TableA6_Emissions[#Headers],0)),0)</f>
        <v>0</v>
      </c>
      <c r="H140" s="162">
        <f>IFERROR(H99*INDEX(TableA6_Emissions[#All],MATCH(Table2B.4_AQ_Dollars[[#This Row],[Year]],TableA6_Emissions[Year],0),MATCH(Table2B.4_AQ_Dollars[[#Headers],[VOC]],TableA6_Emissions[#Headers],0)),0)</f>
        <v>0</v>
      </c>
      <c r="I140" s="162">
        <f>SUM(Table2B.4_AQ_Dollars[[#This Row],[NOX]:[VOC]])</f>
        <v>0</v>
      </c>
    </row>
    <row r="141" spans="2:9">
      <c r="B141" s="134">
        <f>First_Year+'Appendix B. Project Information'!B21</f>
        <v>2024</v>
      </c>
      <c r="C141" s="162">
        <f>IFERROR(IF(Table2B.4_AQ_Dollars[[#This Row],[Year]]&gt;Closeout,(C100*INDEX(TableA6_Emissions[#All],MATCH(Table2B.4_AQ_Dollars[[#This Row],[Year]],TableA6_Emissions[Year],0),MATCH(Table2B.4_AQ_Dollars[[#Headers],[NOX]],TableA6_Emissions[#Headers],0))),0),0)</f>
        <v>0</v>
      </c>
      <c r="D141" s="162">
        <f>IFERROR(IF(Table2B.4_AQ_Dollars[[#This Row],[Year]]&gt;Closeout,(D100*INDEX(TableA6_Emissions[#All],MATCH(Table2B.4_AQ_Dollars[[#This Row],[Year]],TableA6_Emissions[Year],0),MATCH(Table2B.4_AQ_Dollars[[#Headers],[SOx]],TableA6_Emissions[#Headers],0))),0),0)</f>
        <v>0</v>
      </c>
      <c r="E141" s="162">
        <f>IFERROR(IF(Table2B.4_AQ_Dollars[[#This Row],[Year]]&gt;Closeout,(E100*INDEX(TableA6_Emissions[#All],MATCH(Table2B.4_AQ_Dollars[[#This Row],[Year]],TableA6_Emissions[Year],0),MATCH(Table2B.4_AQ_Dollars[[#Headers],[PM2.5]],TableA6_Emissions[#Headers],0))),0),0)</f>
        <v>0</v>
      </c>
      <c r="F141" s="162">
        <f>IFERROR(IF(Table2B.4_AQ_Dollars[[#This Row],[Year]]&gt;Closeout,F100*INDEX(TableA6_Emissions[#All],MATCH(Table2B.4_AQ_Dollars[[#This Row],[Year]],TableA6_Emissions[Year],0),MATCH(Table2B.4_AQ_Dollars[[#Headers],[CO2]],TableA6_Emissions[#Headers],0)),0),0)</f>
        <v>0</v>
      </c>
      <c r="G141" s="162">
        <f>IFERROR(G100*INDEX(TableA6_Emissions[#All],MATCH(Table2B.4_AQ_Dollars[[#This Row],[Year]],TableA6_Emissions[Year],0),MATCH(Table2B.4_AQ_Dollars[[#Headers],[PM10]],TableA6_Emissions[#Headers],0)),0)</f>
        <v>0</v>
      </c>
      <c r="H141" s="162">
        <f>IFERROR(H100*INDEX(TableA6_Emissions[#All],MATCH(Table2B.4_AQ_Dollars[[#This Row],[Year]],TableA6_Emissions[Year],0),MATCH(Table2B.4_AQ_Dollars[[#Headers],[VOC]],TableA6_Emissions[#Headers],0)),0)</f>
        <v>0</v>
      </c>
      <c r="I141" s="162">
        <f>SUM(Table2B.4_AQ_Dollars[[#This Row],[NOX]:[VOC]])</f>
        <v>0</v>
      </c>
    </row>
    <row r="142" spans="2:9">
      <c r="B142" s="134">
        <f>First_Year+'Appendix B. Project Information'!B22</f>
        <v>2025</v>
      </c>
      <c r="C142" s="162">
        <f>IFERROR(IF(Table2B.4_AQ_Dollars[[#This Row],[Year]]&gt;Closeout,(C101*INDEX(TableA6_Emissions[#All],MATCH(Table2B.4_AQ_Dollars[[#This Row],[Year]],TableA6_Emissions[Year],0),MATCH(Table2B.4_AQ_Dollars[[#Headers],[NOX]],TableA6_Emissions[#Headers],0))),0),0)</f>
        <v>0</v>
      </c>
      <c r="D142" s="162">
        <f>IFERROR(IF(Table2B.4_AQ_Dollars[[#This Row],[Year]]&gt;Closeout,(D101*INDEX(TableA6_Emissions[#All],MATCH(Table2B.4_AQ_Dollars[[#This Row],[Year]],TableA6_Emissions[Year],0),MATCH(Table2B.4_AQ_Dollars[[#Headers],[SOx]],TableA6_Emissions[#Headers],0))),0),0)</f>
        <v>0</v>
      </c>
      <c r="E142" s="162">
        <f>IFERROR(IF(Table2B.4_AQ_Dollars[[#This Row],[Year]]&gt;Closeout,(E101*INDEX(TableA6_Emissions[#All],MATCH(Table2B.4_AQ_Dollars[[#This Row],[Year]],TableA6_Emissions[Year],0),MATCH(Table2B.4_AQ_Dollars[[#Headers],[PM2.5]],TableA6_Emissions[#Headers],0))),0),0)</f>
        <v>0</v>
      </c>
      <c r="F142" s="162">
        <f>IFERROR(IF(Table2B.4_AQ_Dollars[[#This Row],[Year]]&gt;Closeout,F101*INDEX(TableA6_Emissions[#All],MATCH(Table2B.4_AQ_Dollars[[#This Row],[Year]],TableA6_Emissions[Year],0),MATCH(Table2B.4_AQ_Dollars[[#Headers],[CO2]],TableA6_Emissions[#Headers],0)),0),0)</f>
        <v>0</v>
      </c>
      <c r="G142" s="162">
        <f>IFERROR(G101*INDEX(TableA6_Emissions[#All],MATCH(Table2B.4_AQ_Dollars[[#This Row],[Year]],TableA6_Emissions[Year],0),MATCH(Table2B.4_AQ_Dollars[[#Headers],[PM10]],TableA6_Emissions[#Headers],0)),0)</f>
        <v>0</v>
      </c>
      <c r="H142" s="162">
        <f>IFERROR(H101*INDEX(TableA6_Emissions[#All],MATCH(Table2B.4_AQ_Dollars[[#This Row],[Year]],TableA6_Emissions[Year],0),MATCH(Table2B.4_AQ_Dollars[[#Headers],[VOC]],TableA6_Emissions[#Headers],0)),0)</f>
        <v>0</v>
      </c>
      <c r="I142" s="162">
        <f>SUM(Table2B.4_AQ_Dollars[[#This Row],[NOX]:[VOC]])</f>
        <v>0</v>
      </c>
    </row>
    <row r="143" spans="2:9">
      <c r="B143" s="134">
        <f>First_Year+'Appendix B. Project Information'!B23</f>
        <v>2026</v>
      </c>
      <c r="C143" s="162">
        <f>IFERROR(IF(Table2B.4_AQ_Dollars[[#This Row],[Year]]&gt;Closeout,(C102*INDEX(TableA6_Emissions[#All],MATCH(Table2B.4_AQ_Dollars[[#This Row],[Year]],TableA6_Emissions[Year],0),MATCH(Table2B.4_AQ_Dollars[[#Headers],[NOX]],TableA6_Emissions[#Headers],0))),0),0)</f>
        <v>0</v>
      </c>
      <c r="D143" s="162">
        <f>IFERROR(IF(Table2B.4_AQ_Dollars[[#This Row],[Year]]&gt;Closeout,(D102*INDEX(TableA6_Emissions[#All],MATCH(Table2B.4_AQ_Dollars[[#This Row],[Year]],TableA6_Emissions[Year],0),MATCH(Table2B.4_AQ_Dollars[[#Headers],[SOx]],TableA6_Emissions[#Headers],0))),0),0)</f>
        <v>0</v>
      </c>
      <c r="E143" s="162">
        <f>IFERROR(IF(Table2B.4_AQ_Dollars[[#This Row],[Year]]&gt;Closeout,(E102*INDEX(TableA6_Emissions[#All],MATCH(Table2B.4_AQ_Dollars[[#This Row],[Year]],TableA6_Emissions[Year],0),MATCH(Table2B.4_AQ_Dollars[[#Headers],[PM2.5]],TableA6_Emissions[#Headers],0))),0),0)</f>
        <v>0</v>
      </c>
      <c r="F143" s="162">
        <f>IFERROR(IF(Table2B.4_AQ_Dollars[[#This Row],[Year]]&gt;Closeout,F102*INDEX(TableA6_Emissions[#All],MATCH(Table2B.4_AQ_Dollars[[#This Row],[Year]],TableA6_Emissions[Year],0),MATCH(Table2B.4_AQ_Dollars[[#Headers],[CO2]],TableA6_Emissions[#Headers],0)),0),0)</f>
        <v>0</v>
      </c>
      <c r="G143" s="162">
        <f>IFERROR(G102*INDEX(TableA6_Emissions[#All],MATCH(Table2B.4_AQ_Dollars[[#This Row],[Year]],TableA6_Emissions[Year],0),MATCH(Table2B.4_AQ_Dollars[[#Headers],[PM10]],TableA6_Emissions[#Headers],0)),0)</f>
        <v>0</v>
      </c>
      <c r="H143" s="162">
        <f>IFERROR(H102*INDEX(TableA6_Emissions[#All],MATCH(Table2B.4_AQ_Dollars[[#This Row],[Year]],TableA6_Emissions[Year],0),MATCH(Table2B.4_AQ_Dollars[[#Headers],[VOC]],TableA6_Emissions[#Headers],0)),0)</f>
        <v>0</v>
      </c>
      <c r="I143" s="162">
        <f>SUM(Table2B.4_AQ_Dollars[[#This Row],[NOX]:[VOC]])</f>
        <v>0</v>
      </c>
    </row>
    <row r="144" spans="2:9">
      <c r="B144" s="134">
        <f>First_Year+'Appendix B. Project Information'!B24</f>
        <v>2027</v>
      </c>
      <c r="C144" s="162">
        <f>IFERROR(IF(Table2B.4_AQ_Dollars[[#This Row],[Year]]&gt;Closeout,(C103*INDEX(TableA6_Emissions[#All],MATCH(Table2B.4_AQ_Dollars[[#This Row],[Year]],TableA6_Emissions[Year],0),MATCH(Table2B.4_AQ_Dollars[[#Headers],[NOX]],TableA6_Emissions[#Headers],0))),0),0)</f>
        <v>0</v>
      </c>
      <c r="D144" s="162">
        <f>IFERROR(IF(Table2B.4_AQ_Dollars[[#This Row],[Year]]&gt;Closeout,(D103*INDEX(TableA6_Emissions[#All],MATCH(Table2B.4_AQ_Dollars[[#This Row],[Year]],TableA6_Emissions[Year],0),MATCH(Table2B.4_AQ_Dollars[[#Headers],[SOx]],TableA6_Emissions[#Headers],0))),0),0)</f>
        <v>0</v>
      </c>
      <c r="E144" s="162">
        <f>IFERROR(IF(Table2B.4_AQ_Dollars[[#This Row],[Year]]&gt;Closeout,(E103*INDEX(TableA6_Emissions[#All],MATCH(Table2B.4_AQ_Dollars[[#This Row],[Year]],TableA6_Emissions[Year],0),MATCH(Table2B.4_AQ_Dollars[[#Headers],[PM2.5]],TableA6_Emissions[#Headers],0))),0),0)</f>
        <v>0</v>
      </c>
      <c r="F144" s="162">
        <f>IFERROR(IF(Table2B.4_AQ_Dollars[[#This Row],[Year]]&gt;Closeout,F103*INDEX(TableA6_Emissions[#All],MATCH(Table2B.4_AQ_Dollars[[#This Row],[Year]],TableA6_Emissions[Year],0),MATCH(Table2B.4_AQ_Dollars[[#Headers],[CO2]],TableA6_Emissions[#Headers],0)),0),0)</f>
        <v>0</v>
      </c>
      <c r="G144" s="162">
        <f>IFERROR(G103*INDEX(TableA6_Emissions[#All],MATCH(Table2B.4_AQ_Dollars[[#This Row],[Year]],TableA6_Emissions[Year],0),MATCH(Table2B.4_AQ_Dollars[[#Headers],[PM10]],TableA6_Emissions[#Headers],0)),0)</f>
        <v>0</v>
      </c>
      <c r="H144" s="162">
        <f>IFERROR(H103*INDEX(TableA6_Emissions[#All],MATCH(Table2B.4_AQ_Dollars[[#This Row],[Year]],TableA6_Emissions[Year],0),MATCH(Table2B.4_AQ_Dollars[[#Headers],[VOC]],TableA6_Emissions[#Headers],0)),0)</f>
        <v>0</v>
      </c>
      <c r="I144" s="162">
        <f>SUM(Table2B.4_AQ_Dollars[[#This Row],[NOX]:[VOC]])</f>
        <v>0</v>
      </c>
    </row>
    <row r="145" spans="2:9">
      <c r="B145" s="134">
        <f>First_Year+'Appendix B. Project Information'!B25</f>
        <v>2028</v>
      </c>
      <c r="C145" s="162">
        <f>IFERROR(IF(Table2B.4_AQ_Dollars[[#This Row],[Year]]&gt;Closeout,(C104*INDEX(TableA6_Emissions[#All],MATCH(Table2B.4_AQ_Dollars[[#This Row],[Year]],TableA6_Emissions[Year],0),MATCH(Table2B.4_AQ_Dollars[[#Headers],[NOX]],TableA6_Emissions[#Headers],0))),0),0)</f>
        <v>2785.6851385047548</v>
      </c>
      <c r="D145" s="162">
        <f>IFERROR(IF(Table2B.4_AQ_Dollars[[#This Row],[Year]]&gt;Closeout,(D104*INDEX(TableA6_Emissions[#All],MATCH(Table2B.4_AQ_Dollars[[#This Row],[Year]],TableA6_Emissions[Year],0),MATCH(Table2B.4_AQ_Dollars[[#Headers],[SOx]],TableA6_Emissions[#Headers],0))),0),0)</f>
        <v>29.699823991292817</v>
      </c>
      <c r="E145" s="162">
        <f>IFERROR(IF(Table2B.4_AQ_Dollars[[#This Row],[Year]]&gt;Closeout,(E104*INDEX(TableA6_Emissions[#All],MATCH(Table2B.4_AQ_Dollars[[#This Row],[Year]],TableA6_Emissions[Year],0),MATCH(Table2B.4_AQ_Dollars[[#Headers],[PM2.5]],TableA6_Emissions[#Headers],0))),0),0)</f>
        <v>13601.135407502543</v>
      </c>
      <c r="F145" s="162">
        <f>IFERROR(IF(Table2B.4_AQ_Dollars[[#This Row],[Year]]&gt;Closeout,F104*INDEX(TableA6_Emissions[#All],MATCH(Table2B.4_AQ_Dollars[[#This Row],[Year]],TableA6_Emissions[Year],0),MATCH(Table2B.4_AQ_Dollars[[#Headers],[CO2]],TableA6_Emissions[#Headers],0)),0),0)</f>
        <v>6147.7957990325376</v>
      </c>
      <c r="G145" s="162">
        <f>IFERROR(G104*INDEX(TableA6_Emissions[#All],MATCH(Table2B.4_AQ_Dollars[[#This Row],[Year]],TableA6_Emissions[Year],0),MATCH(Table2B.4_AQ_Dollars[[#Headers],[PM10]],TableA6_Emissions[#Headers],0)),0)</f>
        <v>0</v>
      </c>
      <c r="H145" s="162">
        <f>IFERROR(H104*INDEX(TableA6_Emissions[#All],MATCH(Table2B.4_AQ_Dollars[[#This Row],[Year]],TableA6_Emissions[Year],0),MATCH(Table2B.4_AQ_Dollars[[#Headers],[VOC]],TableA6_Emissions[#Headers],0)),0)</f>
        <v>0</v>
      </c>
      <c r="I145" s="215">
        <f>SUM(Table2B.4_AQ_Dollars[[#This Row],[NOX]:[VOC]])</f>
        <v>22564.316169031128</v>
      </c>
    </row>
    <row r="146" spans="2:9">
      <c r="B146" s="134">
        <f>First_Year+'Appendix B. Project Information'!B26</f>
        <v>2029</v>
      </c>
      <c r="C146" s="162">
        <f>IFERROR(IF(Table2B.4_AQ_Dollars[[#This Row],[Year]]&gt;Closeout,(C105*INDEX(TableA6_Emissions[#All],MATCH(Table2B.4_AQ_Dollars[[#This Row],[Year]],TableA6_Emissions[Year],0),MATCH(Table2B.4_AQ_Dollars[[#Headers],[NOX]],TableA6_Emissions[#Headers],0))),0),0)</f>
        <v>3959.1891188836753</v>
      </c>
      <c r="D146" s="162">
        <f>IFERROR(IF(Table2B.4_AQ_Dollars[[#This Row],[Year]]&gt;Closeout,(D105*INDEX(TableA6_Emissions[#All],MATCH(Table2B.4_AQ_Dollars[[#This Row],[Year]],TableA6_Emissions[Year],0),MATCH(Table2B.4_AQ_Dollars[[#Headers],[SOx]],TableA6_Emissions[#Headers],0))),0),0)</f>
        <v>42.714008589735677</v>
      </c>
      <c r="E146" s="162">
        <f>IFERROR(IF(Table2B.4_AQ_Dollars[[#This Row],[Year]]&gt;Closeout,(E105*INDEX(TableA6_Emissions[#All],MATCH(Table2B.4_AQ_Dollars[[#This Row],[Year]],TableA6_Emissions[Year],0),MATCH(Table2B.4_AQ_Dollars[[#Headers],[PM2.5]],TableA6_Emissions[#Headers],0))),0),0)</f>
        <v>23683.686202393958</v>
      </c>
      <c r="F146" s="162">
        <f>IFERROR(IF(Table2B.4_AQ_Dollars[[#This Row],[Year]]&gt;Closeout,F105*INDEX(TableA6_Emissions[#All],MATCH(Table2B.4_AQ_Dollars[[#This Row],[Year]],TableA6_Emissions[Year],0),MATCH(Table2B.4_AQ_Dollars[[#Headers],[CO2]],TableA6_Emissions[#Headers],0)),0),0)</f>
        <v>8844.2166607550462</v>
      </c>
      <c r="G146" s="162">
        <f>IFERROR(G105*INDEX(TableA6_Emissions[#All],MATCH(Table2B.4_AQ_Dollars[[#This Row],[Year]],TableA6_Emissions[Year],0),MATCH(Table2B.4_AQ_Dollars[[#Headers],[PM10]],TableA6_Emissions[#Headers],0)),0)</f>
        <v>0</v>
      </c>
      <c r="H146" s="162">
        <f>IFERROR(H105*INDEX(TableA6_Emissions[#All],MATCH(Table2B.4_AQ_Dollars[[#This Row],[Year]],TableA6_Emissions[Year],0),MATCH(Table2B.4_AQ_Dollars[[#Headers],[VOC]],TableA6_Emissions[#Headers],0)),0)</f>
        <v>0</v>
      </c>
      <c r="I146" s="215">
        <f>SUM(Table2B.4_AQ_Dollars[[#This Row],[NOX]:[VOC]])</f>
        <v>36529.805990622415</v>
      </c>
    </row>
    <row r="147" spans="2:9">
      <c r="B147" s="134">
        <f>First_Year+'Appendix B. Project Information'!B27</f>
        <v>2030</v>
      </c>
      <c r="C147" s="162">
        <f>IFERROR(IF(Table2B.4_AQ_Dollars[[#This Row],[Year]]&gt;Closeout,(C106*INDEX(TableA6_Emissions[#All],MATCH(Table2B.4_AQ_Dollars[[#This Row],[Year]],TableA6_Emissions[Year],0),MATCH(Table2B.4_AQ_Dollars[[#Headers],[NOX]],TableA6_Emissions[#Headers],0))),0),0)</f>
        <v>5197.7859825515143</v>
      </c>
      <c r="D147" s="162">
        <f>IFERROR(IF(Table2B.4_AQ_Dollars[[#This Row],[Year]]&gt;Closeout,(D106*INDEX(TableA6_Emissions[#All],MATCH(Table2B.4_AQ_Dollars[[#This Row],[Year]],TableA6_Emissions[Year],0),MATCH(Table2B.4_AQ_Dollars[[#Headers],[SOx]],TableA6_Emissions[#Headers],0))),0),0)</f>
        <v>56.244680361392781</v>
      </c>
      <c r="E147" s="162">
        <f>IFERROR(IF(Table2B.4_AQ_Dollars[[#This Row],[Year]]&gt;Closeout,(E106*INDEX(TableA6_Emissions[#All],MATCH(Table2B.4_AQ_Dollars[[#This Row],[Year]],TableA6_Emissions[Year],0),MATCH(Table2B.4_AQ_Dollars[[#Headers],[PM2.5]],TableA6_Emissions[#Headers],0))),0),0)</f>
        <v>34083.502781446252</v>
      </c>
      <c r="F147" s="162">
        <f>IFERROR(IF(Table2B.4_AQ_Dollars[[#This Row],[Year]]&gt;Closeout,F106*INDEX(TableA6_Emissions[#All],MATCH(Table2B.4_AQ_Dollars[[#This Row],[Year]],TableA6_Emissions[Year],0),MATCH(Table2B.4_AQ_Dollars[[#Headers],[CO2]],TableA6_Emissions[#Headers],0)),0),0)</f>
        <v>11624.367758736698</v>
      </c>
      <c r="G147" s="162">
        <f>IFERROR(G106*INDEX(TableA6_Emissions[#All],MATCH(Table2B.4_AQ_Dollars[[#This Row],[Year]],TableA6_Emissions[Year],0),MATCH(Table2B.4_AQ_Dollars[[#Headers],[PM10]],TableA6_Emissions[#Headers],0)),0)</f>
        <v>0</v>
      </c>
      <c r="H147" s="162">
        <f>IFERROR(H106*INDEX(TableA6_Emissions[#All],MATCH(Table2B.4_AQ_Dollars[[#This Row],[Year]],TableA6_Emissions[Year],0),MATCH(Table2B.4_AQ_Dollars[[#Headers],[VOC]],TableA6_Emissions[#Headers],0)),0)</f>
        <v>0</v>
      </c>
      <c r="I147" s="215">
        <f>SUM(Table2B.4_AQ_Dollars[[#This Row],[NOX]:[VOC]])</f>
        <v>50961.901203095855</v>
      </c>
    </row>
    <row r="148" spans="2:9">
      <c r="B148" s="134">
        <f>First_Year+'Appendix B. Project Information'!B28</f>
        <v>2031</v>
      </c>
      <c r="C148" s="162">
        <f>IFERROR(IF(Table2B.4_AQ_Dollars[[#This Row],[Year]]&gt;Closeout,(C107*INDEX(TableA6_Emissions[#All],MATCH(Table2B.4_AQ_Dollars[[#This Row],[Year]],TableA6_Emissions[Year],0),MATCH(Table2B.4_AQ_Dollars[[#Headers],[NOX]],TableA6_Emissions[#Headers],0))),0),0)</f>
        <v>6451.7768572130808</v>
      </c>
      <c r="D148" s="162">
        <f>IFERROR(IF(Table2B.4_AQ_Dollars[[#This Row],[Year]]&gt;Closeout,(D107*INDEX(TableA6_Emissions[#All],MATCH(Table2B.4_AQ_Dollars[[#This Row],[Year]],TableA6_Emissions[Year],0),MATCH(Table2B.4_AQ_Dollars[[#Headers],[SOx]],TableA6_Emissions[#Headers],0))),0),0)</f>
        <v>70.230854041394963</v>
      </c>
      <c r="E148" s="162">
        <f>IFERROR(IF(Table2B.4_AQ_Dollars[[#This Row],[Year]]&gt;Closeout,(E107*INDEX(TableA6_Emissions[#All],MATCH(Table2B.4_AQ_Dollars[[#This Row],[Year]],TableA6_Emissions[Year],0),MATCH(Table2B.4_AQ_Dollars[[#Headers],[PM2.5]],TableA6_Emissions[#Headers],0))),0),0)</f>
        <v>44807.316355933719</v>
      </c>
      <c r="F148" s="162">
        <f>IFERROR(IF(Table2B.4_AQ_Dollars[[#This Row],[Year]]&gt;Closeout,F107*INDEX(TableA6_Emissions[#All],MATCH(Table2B.4_AQ_Dollars[[#This Row],[Year]],TableA6_Emissions[Year],0),MATCH(Table2B.4_AQ_Dollars[[#Headers],[CO2]],TableA6_Emissions[#Headers],0)),0),0)</f>
        <v>14714.627985055267</v>
      </c>
      <c r="G148" s="162">
        <f>IFERROR(G107*INDEX(TableA6_Emissions[#All],MATCH(Table2B.4_AQ_Dollars[[#This Row],[Year]],TableA6_Emissions[Year],0),MATCH(Table2B.4_AQ_Dollars[[#Headers],[PM10]],TableA6_Emissions[#Headers],0)),0)</f>
        <v>0</v>
      </c>
      <c r="H148" s="162">
        <f>IFERROR(H107*INDEX(TableA6_Emissions[#All],MATCH(Table2B.4_AQ_Dollars[[#This Row],[Year]],TableA6_Emissions[Year],0),MATCH(Table2B.4_AQ_Dollars[[#Headers],[VOC]],TableA6_Emissions[#Headers],0)),0)</f>
        <v>0</v>
      </c>
      <c r="I148" s="215">
        <f>SUM(Table2B.4_AQ_Dollars[[#This Row],[NOX]:[VOC]])</f>
        <v>66043.952052243461</v>
      </c>
    </row>
    <row r="149" spans="2:9">
      <c r="B149" s="134">
        <f>First_Year+'Appendix B. Project Information'!B29</f>
        <v>2032</v>
      </c>
      <c r="C149" s="162">
        <f>IFERROR(IF(Table2B.4_AQ_Dollars[[#This Row],[Year]]&gt;Closeout,(C108*INDEX(TableA6_Emissions[#All],MATCH(Table2B.4_AQ_Dollars[[#This Row],[Year]],TableA6_Emissions[Year],0),MATCH(Table2B.4_AQ_Dollars[[#Headers],[NOX]],TableA6_Emissions[#Headers],0))),0),0)</f>
        <v>7621.9324740915599</v>
      </c>
      <c r="D149" s="162">
        <f>IFERROR(IF(Table2B.4_AQ_Dollars[[#This Row],[Year]]&gt;Closeout,(D108*INDEX(TableA6_Emissions[#All],MATCH(Table2B.4_AQ_Dollars[[#This Row],[Year]],TableA6_Emissions[Year],0),MATCH(Table2B.4_AQ_Dollars[[#Headers],[SOx]],TableA6_Emissions[#Headers],0))),0),0)</f>
        <v>83.212658429229407</v>
      </c>
      <c r="E149" s="162">
        <f>IFERROR(IF(Table2B.4_AQ_Dollars[[#This Row],[Year]]&gt;Closeout,(E108*INDEX(TableA6_Emissions[#All],MATCH(Table2B.4_AQ_Dollars[[#This Row],[Year]],TableA6_Emissions[Year],0),MATCH(Table2B.4_AQ_Dollars[[#Headers],[PM2.5]],TableA6_Emissions[#Headers],0))),0),0)</f>
        <v>54989.39527685444</v>
      </c>
      <c r="F149" s="162">
        <f>IFERROR(IF(Table2B.4_AQ_Dollars[[#This Row],[Year]]&gt;Closeout,F108*INDEX(TableA6_Emissions[#All],MATCH(Table2B.4_AQ_Dollars[[#This Row],[Year]],TableA6_Emissions[Year],0),MATCH(Table2B.4_AQ_Dollars[[#Headers],[CO2]],TableA6_Emissions[#Headers],0)),0),0)</f>
        <v>17704.104673684778</v>
      </c>
      <c r="G149" s="162">
        <f>IFERROR(G108*INDEX(TableA6_Emissions[#All],MATCH(Table2B.4_AQ_Dollars[[#This Row],[Year]],TableA6_Emissions[Year],0),MATCH(Table2B.4_AQ_Dollars[[#Headers],[PM10]],TableA6_Emissions[#Headers],0)),0)</f>
        <v>0</v>
      </c>
      <c r="H149" s="162">
        <f>IFERROR(H108*INDEX(TableA6_Emissions[#All],MATCH(Table2B.4_AQ_Dollars[[#This Row],[Year]],TableA6_Emissions[Year],0),MATCH(Table2B.4_AQ_Dollars[[#Headers],[VOC]],TableA6_Emissions[#Headers],0)),0)</f>
        <v>0</v>
      </c>
      <c r="I149" s="215">
        <f>SUM(Table2B.4_AQ_Dollars[[#This Row],[NOX]:[VOC]])</f>
        <v>80398.645083060008</v>
      </c>
    </row>
    <row r="150" spans="2:9">
      <c r="B150" s="134">
        <f>First_Year+'Appendix B. Project Information'!B30</f>
        <v>2033</v>
      </c>
      <c r="C150" s="162">
        <f>IFERROR(IF(Table2B.4_AQ_Dollars[[#This Row],[Year]]&gt;Closeout,(C109*INDEX(TableA6_Emissions[#All],MATCH(Table2B.4_AQ_Dollars[[#This Row],[Year]],TableA6_Emissions[Year],0),MATCH(Table2B.4_AQ_Dollars[[#Headers],[NOX]],TableA6_Emissions[#Headers],0))),0),0)</f>
        <v>8792.0880909700372</v>
      </c>
      <c r="D150" s="162">
        <f>IFERROR(IF(Table2B.4_AQ_Dollars[[#This Row],[Year]]&gt;Closeout,(D109*INDEX(TableA6_Emissions[#All],MATCH(Table2B.4_AQ_Dollars[[#This Row],[Year]],TableA6_Emissions[Year],0),MATCH(Table2B.4_AQ_Dollars[[#Headers],[SOx]],TableA6_Emissions[#Headers],0))),0),0)</f>
        <v>96.194462817063865</v>
      </c>
      <c r="E150" s="162">
        <f>IFERROR(IF(Table2B.4_AQ_Dollars[[#This Row],[Year]]&gt;Closeout,(E109*INDEX(TableA6_Emissions[#All],MATCH(Table2B.4_AQ_Dollars[[#This Row],[Year]],TableA6_Emissions[Year],0),MATCH(Table2B.4_AQ_Dollars[[#Headers],[PM2.5]],TableA6_Emissions[#Headers],0))),0),0)</f>
        <v>65171.474197775155</v>
      </c>
      <c r="F150" s="162">
        <f>IFERROR(IF(Table2B.4_AQ_Dollars[[#This Row],[Year]]&gt;Closeout,F109*INDEX(TableA6_Emissions[#All],MATCH(Table2B.4_AQ_Dollars[[#This Row],[Year]],TableA6_Emissions[Year],0),MATCH(Table2B.4_AQ_Dollars[[#Headers],[CO2]],TableA6_Emissions[#Headers],0)),0),0)</f>
        <v>20777.311598573433</v>
      </c>
      <c r="G150" s="162">
        <f>IFERROR(G109*INDEX(TableA6_Emissions[#All],MATCH(Table2B.4_AQ_Dollars[[#This Row],[Year]],TableA6_Emissions[Year],0),MATCH(Table2B.4_AQ_Dollars[[#Headers],[PM10]],TableA6_Emissions[#Headers],0)),0)</f>
        <v>0</v>
      </c>
      <c r="H150" s="162">
        <f>IFERROR(H109*INDEX(TableA6_Emissions[#All],MATCH(Table2B.4_AQ_Dollars[[#This Row],[Year]],TableA6_Emissions[Year],0),MATCH(Table2B.4_AQ_Dollars[[#Headers],[VOC]],TableA6_Emissions[#Headers],0)),0)</f>
        <v>0</v>
      </c>
      <c r="I150" s="215">
        <f>SUM(Table2B.4_AQ_Dollars[[#This Row],[NOX]:[VOC]])</f>
        <v>94837.068350135683</v>
      </c>
    </row>
    <row r="151" spans="2:9">
      <c r="B151" s="134">
        <f>First_Year+'Appendix B. Project Information'!B31</f>
        <v>2034</v>
      </c>
      <c r="C151" s="162">
        <f>IFERROR(IF(Table2B.4_AQ_Dollars[[#This Row],[Year]]&gt;Closeout,(C110*INDEX(TableA6_Emissions[#All],MATCH(Table2B.4_AQ_Dollars[[#This Row],[Year]],TableA6_Emissions[Year],0),MATCH(Table2B.4_AQ_Dollars[[#Headers],[NOX]],TableA6_Emissions[#Headers],0))),0),0)</f>
        <v>9962.2437078485164</v>
      </c>
      <c r="D151" s="162">
        <f>IFERROR(IF(Table2B.4_AQ_Dollars[[#This Row],[Year]]&gt;Closeout,(D110*INDEX(TableA6_Emissions[#All],MATCH(Table2B.4_AQ_Dollars[[#This Row],[Year]],TableA6_Emissions[Year],0),MATCH(Table2B.4_AQ_Dollars[[#Headers],[SOx]],TableA6_Emissions[#Headers],0))),0),0)</f>
        <v>109.17626720489831</v>
      </c>
      <c r="E151" s="162">
        <f>IFERROR(IF(Table2B.4_AQ_Dollars[[#This Row],[Year]]&gt;Closeout,(E110*INDEX(TableA6_Emissions[#All],MATCH(Table2B.4_AQ_Dollars[[#This Row],[Year]],TableA6_Emissions[Year],0),MATCH(Table2B.4_AQ_Dollars[[#Headers],[PM2.5]],TableA6_Emissions[#Headers],0))),0),0)</f>
        <v>75353.553118695869</v>
      </c>
      <c r="F151" s="162">
        <f>IFERROR(IF(Table2B.4_AQ_Dollars[[#This Row],[Year]]&gt;Closeout,F110*INDEX(TableA6_Emissions[#All],MATCH(Table2B.4_AQ_Dollars[[#This Row],[Year]],TableA6_Emissions[Year],0),MATCH(Table2B.4_AQ_Dollars[[#Headers],[CO2]],TableA6_Emissions[#Headers],0)),0),0)</f>
        <v>23934.248759721231</v>
      </c>
      <c r="G151" s="162">
        <f>IFERROR(G110*INDEX(TableA6_Emissions[#All],MATCH(Table2B.4_AQ_Dollars[[#This Row],[Year]],TableA6_Emissions[Year],0),MATCH(Table2B.4_AQ_Dollars[[#Headers],[PM10]],TableA6_Emissions[#Headers],0)),0)</f>
        <v>0</v>
      </c>
      <c r="H151" s="162">
        <f>IFERROR(H110*INDEX(TableA6_Emissions[#All],MATCH(Table2B.4_AQ_Dollars[[#This Row],[Year]],TableA6_Emissions[Year],0),MATCH(Table2B.4_AQ_Dollars[[#Headers],[VOC]],TableA6_Emissions[#Headers],0)),0)</f>
        <v>0</v>
      </c>
      <c r="I151" s="162">
        <f>SUM(Table2B.4_AQ_Dollars[[#This Row],[NOX]:[VOC]])</f>
        <v>109359.22185347052</v>
      </c>
    </row>
    <row r="152" spans="2:9">
      <c r="B152" s="134">
        <f>First_Year+'Appendix B. Project Information'!B32</f>
        <v>2035</v>
      </c>
      <c r="C152" s="162">
        <f>IFERROR(IF(Table2B.4_AQ_Dollars[[#This Row],[Year]]&gt;Closeout,(C111*INDEX(TableA6_Emissions[#All],MATCH(Table2B.4_AQ_Dollars[[#This Row],[Year]],TableA6_Emissions[Year],0),MATCH(Table2B.4_AQ_Dollars[[#Headers],[NOX]],TableA6_Emissions[#Headers],0))),0),0)</f>
        <v>11132.399324726995</v>
      </c>
      <c r="D152" s="162">
        <f>IFERROR(IF(Table2B.4_AQ_Dollars[[#This Row],[Year]]&gt;Closeout,(D111*INDEX(TableA6_Emissions[#All],MATCH(Table2B.4_AQ_Dollars[[#This Row],[Year]],TableA6_Emissions[Year],0),MATCH(Table2B.4_AQ_Dollars[[#Headers],[SOx]],TableA6_Emissions[#Headers],0))),0),0)</f>
        <v>122.15807159273277</v>
      </c>
      <c r="E152" s="162">
        <f>IFERROR(IF(Table2B.4_AQ_Dollars[[#This Row],[Year]]&gt;Closeout,(E111*INDEX(TableA6_Emissions[#All],MATCH(Table2B.4_AQ_Dollars[[#This Row],[Year]],TableA6_Emissions[Year],0),MATCH(Table2B.4_AQ_Dollars[[#Headers],[PM2.5]],TableA6_Emissions[#Headers],0))),0),0)</f>
        <v>85535.632039616597</v>
      </c>
      <c r="F152" s="162">
        <f>IFERROR(IF(Table2B.4_AQ_Dollars[[#This Row],[Year]]&gt;Closeout,F111*INDEX(TableA6_Emissions[#All],MATCH(Table2B.4_AQ_Dollars[[#This Row],[Year]],TableA6_Emissions[Year],0),MATCH(Table2B.4_AQ_Dollars[[#Headers],[CO2]],TableA6_Emissions[#Headers],0)),0),0)</f>
        <v>27174.916157128173</v>
      </c>
      <c r="G152" s="162">
        <f>IFERROR(G111*INDEX(TableA6_Emissions[#All],MATCH(Table2B.4_AQ_Dollars[[#This Row],[Year]],TableA6_Emissions[Year],0),MATCH(Table2B.4_AQ_Dollars[[#Headers],[PM10]],TableA6_Emissions[#Headers],0)),0)</f>
        <v>0</v>
      </c>
      <c r="H152" s="162">
        <f>IFERROR(H111*INDEX(TableA6_Emissions[#All],MATCH(Table2B.4_AQ_Dollars[[#This Row],[Year]],TableA6_Emissions[Year],0),MATCH(Table2B.4_AQ_Dollars[[#Headers],[VOC]],TableA6_Emissions[#Headers],0)),0)</f>
        <v>0</v>
      </c>
      <c r="I152" s="162">
        <f>SUM(Table2B.4_AQ_Dollars[[#This Row],[NOX]:[VOC]])</f>
        <v>123965.10559306449</v>
      </c>
    </row>
    <row r="153" spans="2:9">
      <c r="B153" s="134">
        <f>First_Year+'Appendix B. Project Information'!B33</f>
        <v>2036</v>
      </c>
      <c r="C153" s="162">
        <f>IFERROR(IF(Table2B.4_AQ_Dollars[[#This Row],[Year]]&gt;Closeout,(C112*INDEX(TableA6_Emissions[#All],MATCH(Table2B.4_AQ_Dollars[[#This Row],[Year]],TableA6_Emissions[Year],0),MATCH(Table2B.4_AQ_Dollars[[#Headers],[NOX]],TableA6_Emissions[#Headers],0))),0),0)</f>
        <v>12302.554941605473</v>
      </c>
      <c r="D153" s="162">
        <f>IFERROR(IF(Table2B.4_AQ_Dollars[[#This Row],[Year]]&gt;Closeout,(D112*INDEX(TableA6_Emissions[#All],MATCH(Table2B.4_AQ_Dollars[[#This Row],[Year]],TableA6_Emissions[Year],0),MATCH(Table2B.4_AQ_Dollars[[#Headers],[SOx]],TableA6_Emissions[#Headers],0))),0),0)</f>
        <v>135.13987598056721</v>
      </c>
      <c r="E153" s="162">
        <f>IFERROR(IF(Table2B.4_AQ_Dollars[[#This Row],[Year]]&gt;Closeout,(E112*INDEX(TableA6_Emissions[#All],MATCH(Table2B.4_AQ_Dollars[[#This Row],[Year]],TableA6_Emissions[Year],0),MATCH(Table2B.4_AQ_Dollars[[#Headers],[PM2.5]],TableA6_Emissions[#Headers],0))),0),0)</f>
        <v>95717.710960537312</v>
      </c>
      <c r="F153" s="162">
        <f>IFERROR(IF(Table2B.4_AQ_Dollars[[#This Row],[Year]]&gt;Closeout,F112*INDEX(TableA6_Emissions[#All],MATCH(Table2B.4_AQ_Dollars[[#This Row],[Year]],TableA6_Emissions[Year],0),MATCH(Table2B.4_AQ_Dollars[[#Headers],[CO2]],TableA6_Emissions[#Headers],0)),0),0)</f>
        <v>30499.313790794258</v>
      </c>
      <c r="G153" s="162">
        <f>IFERROR(G112*INDEX(TableA6_Emissions[#All],MATCH(Table2B.4_AQ_Dollars[[#This Row],[Year]],TableA6_Emissions[Year],0),MATCH(Table2B.4_AQ_Dollars[[#Headers],[PM10]],TableA6_Emissions[#Headers],0)),0)</f>
        <v>0</v>
      </c>
      <c r="H153" s="162">
        <f>IFERROR(H112*INDEX(TableA6_Emissions[#All],MATCH(Table2B.4_AQ_Dollars[[#This Row],[Year]],TableA6_Emissions[Year],0),MATCH(Table2B.4_AQ_Dollars[[#Headers],[VOC]],TableA6_Emissions[#Headers],0)),0)</f>
        <v>0</v>
      </c>
      <c r="I153" s="162">
        <f>SUM(Table2B.4_AQ_Dollars[[#This Row],[NOX]:[VOC]])</f>
        <v>138654.71956891762</v>
      </c>
    </row>
    <row r="154" spans="2:9">
      <c r="B154" s="134">
        <f>First_Year+'Appendix B. Project Information'!B34</f>
        <v>2037</v>
      </c>
      <c r="C154" s="162">
        <f>IFERROR(IF(Table2B.4_AQ_Dollars[[#This Row],[Year]]&gt;Closeout,(C113*INDEX(TableA6_Emissions[#All],MATCH(Table2B.4_AQ_Dollars[[#This Row],[Year]],TableA6_Emissions[Year],0),MATCH(Table2B.4_AQ_Dollars[[#Headers],[NOX]],TableA6_Emissions[#Headers],0))),0),0)</f>
        <v>13472.710558483952</v>
      </c>
      <c r="D154" s="162">
        <f>IFERROR(IF(Table2B.4_AQ_Dollars[[#This Row],[Year]]&gt;Closeout,(D113*INDEX(TableA6_Emissions[#All],MATCH(Table2B.4_AQ_Dollars[[#This Row],[Year]],TableA6_Emissions[Year],0),MATCH(Table2B.4_AQ_Dollars[[#Headers],[SOx]],TableA6_Emissions[#Headers],0))),0),0)</f>
        <v>148.12168036840166</v>
      </c>
      <c r="E154" s="162">
        <f>IFERROR(IF(Table2B.4_AQ_Dollars[[#This Row],[Year]]&gt;Closeout,(E113*INDEX(TableA6_Emissions[#All],MATCH(Table2B.4_AQ_Dollars[[#This Row],[Year]],TableA6_Emissions[Year],0),MATCH(Table2B.4_AQ_Dollars[[#Headers],[PM2.5]],TableA6_Emissions[#Headers],0))),0),0)</f>
        <v>105899.78988145803</v>
      </c>
      <c r="F154" s="162">
        <f>IFERROR(IF(Table2B.4_AQ_Dollars[[#This Row],[Year]]&gt;Closeout,F113*INDEX(TableA6_Emissions[#All],MATCH(Table2B.4_AQ_Dollars[[#This Row],[Year]],TableA6_Emissions[Year],0),MATCH(Table2B.4_AQ_Dollars[[#Headers],[CO2]],TableA6_Emissions[#Headers],0)),0),0)</f>
        <v>34385.011261574691</v>
      </c>
      <c r="G154" s="162">
        <f>IFERROR(G113*INDEX(TableA6_Emissions[#All],MATCH(Table2B.4_AQ_Dollars[[#This Row],[Year]],TableA6_Emissions[Year],0),MATCH(Table2B.4_AQ_Dollars[[#Headers],[PM10]],TableA6_Emissions[#Headers],0)),0)</f>
        <v>0</v>
      </c>
      <c r="H154" s="162">
        <f>IFERROR(H113*INDEX(TableA6_Emissions[#All],MATCH(Table2B.4_AQ_Dollars[[#This Row],[Year]],TableA6_Emissions[Year],0),MATCH(Table2B.4_AQ_Dollars[[#Headers],[VOC]],TableA6_Emissions[#Headers],0)),0)</f>
        <v>0</v>
      </c>
      <c r="I154" s="162">
        <f>SUM(Table2B.4_AQ_Dollars[[#This Row],[NOX]:[VOC]])</f>
        <v>153905.63338188507</v>
      </c>
    </row>
    <row r="155" spans="2:9">
      <c r="B155" s="134">
        <f>First_Year+'Appendix B. Project Information'!B35</f>
        <v>2038</v>
      </c>
      <c r="C155" s="162">
        <f>IFERROR(IF(Table2B.4_AQ_Dollars[[#This Row],[Year]]&gt;Closeout,(C114*INDEX(TableA6_Emissions[#All],MATCH(Table2B.4_AQ_Dollars[[#This Row],[Year]],TableA6_Emissions[Year],0),MATCH(Table2B.4_AQ_Dollars[[#Headers],[NOX]],TableA6_Emissions[#Headers],0))),0),0)</f>
        <v>14642.866175362429</v>
      </c>
      <c r="D155" s="162">
        <f>IFERROR(IF(Table2B.4_AQ_Dollars[[#This Row],[Year]]&gt;Closeout,(D114*INDEX(TableA6_Emissions[#All],MATCH(Table2B.4_AQ_Dollars[[#This Row],[Year]],TableA6_Emissions[Year],0),MATCH(Table2B.4_AQ_Dollars[[#Headers],[SOx]],TableA6_Emissions[#Headers],0))),0),0)</f>
        <v>161.10348475623613</v>
      </c>
      <c r="E155" s="162">
        <f>IFERROR(IF(Table2B.4_AQ_Dollars[[#This Row],[Year]]&gt;Closeout,(E114*INDEX(TableA6_Emissions[#All],MATCH(Table2B.4_AQ_Dollars[[#This Row],[Year]],TableA6_Emissions[Year],0),MATCH(Table2B.4_AQ_Dollars[[#Headers],[PM2.5]],TableA6_Emissions[#Headers],0))),0),0)</f>
        <v>116081.86880237874</v>
      </c>
      <c r="F155" s="162">
        <f>IFERROR(IF(Table2B.4_AQ_Dollars[[#This Row],[Year]]&gt;Closeout,F114*INDEX(TableA6_Emissions[#All],MATCH(Table2B.4_AQ_Dollars[[#This Row],[Year]],TableA6_Emissions[Year],0),MATCH(Table2B.4_AQ_Dollars[[#Headers],[CO2]],TableA6_Emissions[#Headers],0)),0),0)</f>
        <v>37918.734485888635</v>
      </c>
      <c r="G155" s="162">
        <f>IFERROR(G114*INDEX(TableA6_Emissions[#All],MATCH(Table2B.4_AQ_Dollars[[#This Row],[Year]],TableA6_Emissions[Year],0),MATCH(Table2B.4_AQ_Dollars[[#Headers],[PM10]],TableA6_Emissions[#Headers],0)),0)</f>
        <v>0</v>
      </c>
      <c r="H155" s="162">
        <f>IFERROR(H114*INDEX(TableA6_Emissions[#All],MATCH(Table2B.4_AQ_Dollars[[#This Row],[Year]],TableA6_Emissions[Year],0),MATCH(Table2B.4_AQ_Dollars[[#Headers],[VOC]],TableA6_Emissions[#Headers],0)),0)</f>
        <v>0</v>
      </c>
      <c r="I155" s="162">
        <f>SUM(Table2B.4_AQ_Dollars[[#This Row],[NOX]:[VOC]])</f>
        <v>168804.57294838602</v>
      </c>
    </row>
    <row r="156" spans="2:9">
      <c r="B156" s="134">
        <f>First_Year+'Appendix B. Project Information'!B36</f>
        <v>2039</v>
      </c>
      <c r="C156" s="162">
        <f>IFERROR(IF(Table2B.4_AQ_Dollars[[#This Row],[Year]]&gt;Closeout,(C115*INDEX(TableA6_Emissions[#All],MATCH(Table2B.4_AQ_Dollars[[#This Row],[Year]],TableA6_Emissions[Year],0),MATCH(Table2B.4_AQ_Dollars[[#Headers],[NOX]],TableA6_Emissions[#Headers],0))),0),0)</f>
        <v>15813.021792240908</v>
      </c>
      <c r="D156" s="162">
        <f>IFERROR(IF(Table2B.4_AQ_Dollars[[#This Row],[Year]]&gt;Closeout,(D115*INDEX(TableA6_Emissions[#All],MATCH(Table2B.4_AQ_Dollars[[#This Row],[Year]],TableA6_Emissions[Year],0),MATCH(Table2B.4_AQ_Dollars[[#Headers],[SOx]],TableA6_Emissions[#Headers],0))),0),0)</f>
        <v>174.08528914407057</v>
      </c>
      <c r="E156" s="162">
        <f>IFERROR(IF(Table2B.4_AQ_Dollars[[#This Row],[Year]]&gt;Closeout,(E115*INDEX(TableA6_Emissions[#All],MATCH(Table2B.4_AQ_Dollars[[#This Row],[Year]],TableA6_Emissions[Year],0),MATCH(Table2B.4_AQ_Dollars[[#Headers],[PM2.5]],TableA6_Emissions[#Headers],0))),0),0)</f>
        <v>126263.94772329947</v>
      </c>
      <c r="F156" s="162">
        <f>IFERROR(IF(Table2B.4_AQ_Dollars[[#This Row],[Year]]&gt;Closeout,F115*INDEX(TableA6_Emissions[#All],MATCH(Table2B.4_AQ_Dollars[[#This Row],[Year]],TableA6_Emissions[Year],0),MATCH(Table2B.4_AQ_Dollars[[#Headers],[CO2]],TableA6_Emissions[#Headers],0)),0),0)</f>
        <v>41536.187946461723</v>
      </c>
      <c r="G156" s="162">
        <f>IFERROR(G115*INDEX(TableA6_Emissions[#All],MATCH(Table2B.4_AQ_Dollars[[#This Row],[Year]],TableA6_Emissions[Year],0),MATCH(Table2B.4_AQ_Dollars[[#Headers],[PM10]],TableA6_Emissions[#Headers],0)),0)</f>
        <v>0</v>
      </c>
      <c r="H156" s="162">
        <f>IFERROR(H115*INDEX(TableA6_Emissions[#All],MATCH(Table2B.4_AQ_Dollars[[#This Row],[Year]],TableA6_Emissions[Year],0),MATCH(Table2B.4_AQ_Dollars[[#Headers],[VOC]],TableA6_Emissions[#Headers],0)),0)</f>
        <v>0</v>
      </c>
      <c r="I156" s="162">
        <f>SUM(Table2B.4_AQ_Dollars[[#This Row],[NOX]:[VOC]])</f>
        <v>183787.24275114617</v>
      </c>
    </row>
    <row r="157" spans="2:9">
      <c r="B157" s="134">
        <f>First_Year+'Appendix B. Project Information'!B37</f>
        <v>2040</v>
      </c>
      <c r="C157" s="162">
        <f>IFERROR(IF(Table2B.4_AQ_Dollars[[#This Row],[Year]]&gt;Closeout,(C116*INDEX(TableA6_Emissions[#All],MATCH(Table2B.4_AQ_Dollars[[#This Row],[Year]],TableA6_Emissions[Year],0),MATCH(Table2B.4_AQ_Dollars[[#Headers],[NOX]],TableA6_Emissions[#Headers],0))),0),0)</f>
        <v>16983.177409119387</v>
      </c>
      <c r="D157" s="162">
        <f>IFERROR(IF(Table2B.4_AQ_Dollars[[#This Row],[Year]]&gt;Closeout,(D116*INDEX(TableA6_Emissions[#All],MATCH(Table2B.4_AQ_Dollars[[#This Row],[Year]],TableA6_Emissions[Year],0),MATCH(Table2B.4_AQ_Dollars[[#Headers],[SOx]],TableA6_Emissions[#Headers],0))),0),0)</f>
        <v>187.06709353190502</v>
      </c>
      <c r="E157" s="162">
        <f>IFERROR(IF(Table2B.4_AQ_Dollars[[#This Row],[Year]]&gt;Closeout,(E116*INDEX(TableA6_Emissions[#All],MATCH(Table2B.4_AQ_Dollars[[#This Row],[Year]],TableA6_Emissions[Year],0),MATCH(Table2B.4_AQ_Dollars[[#Headers],[PM2.5]],TableA6_Emissions[#Headers],0))),0),0)</f>
        <v>136446.02664422017</v>
      </c>
      <c r="F157" s="162">
        <f>IFERROR(IF(Table2B.4_AQ_Dollars[[#This Row],[Year]]&gt;Closeout,F116*INDEX(TableA6_Emissions[#All],MATCH(Table2B.4_AQ_Dollars[[#This Row],[Year]],TableA6_Emissions[Year],0),MATCH(Table2B.4_AQ_Dollars[[#Headers],[CO2]],TableA6_Emissions[#Headers],0)),0),0)</f>
        <v>45237.371643293955</v>
      </c>
      <c r="G157" s="162">
        <f>IFERROR(G116*INDEX(TableA6_Emissions[#All],MATCH(Table2B.4_AQ_Dollars[[#This Row],[Year]],TableA6_Emissions[Year],0),MATCH(Table2B.4_AQ_Dollars[[#Headers],[PM10]],TableA6_Emissions[#Headers],0)),0)</f>
        <v>0</v>
      </c>
      <c r="H157" s="162">
        <f>IFERROR(H116*INDEX(TableA6_Emissions[#All],MATCH(Table2B.4_AQ_Dollars[[#This Row],[Year]],TableA6_Emissions[Year],0),MATCH(Table2B.4_AQ_Dollars[[#Headers],[VOC]],TableA6_Emissions[#Headers],0)),0)</f>
        <v>0</v>
      </c>
      <c r="I157" s="162">
        <f>SUM(Table2B.4_AQ_Dollars[[#This Row],[NOX]:[VOC]])</f>
        <v>198853.64279016544</v>
      </c>
    </row>
    <row r="158" spans="2:9">
      <c r="B158" s="134">
        <f>First_Year+'Appendix B. Project Information'!B38</f>
        <v>2041</v>
      </c>
      <c r="C158" s="162">
        <f>IFERROR(IF(Table2B.4_AQ_Dollars[[#This Row],[Year]]&gt;Closeout,(C117*INDEX(TableA6_Emissions[#All],MATCH(Table2B.4_AQ_Dollars[[#This Row],[Year]],TableA6_Emissions[Year],0),MATCH(Table2B.4_AQ_Dollars[[#Headers],[NOX]],TableA6_Emissions[#Headers],0))),0),0)</f>
        <v>18153.333025997865</v>
      </c>
      <c r="D158" s="162">
        <f>IFERROR(IF(Table2B.4_AQ_Dollars[[#This Row],[Year]]&gt;Closeout,(D117*INDEX(TableA6_Emissions[#All],MATCH(Table2B.4_AQ_Dollars[[#This Row],[Year]],TableA6_Emissions[Year],0),MATCH(Table2B.4_AQ_Dollars[[#Headers],[SOx]],TableA6_Emissions[#Headers],0))),0),0)</f>
        <v>200.04889791973946</v>
      </c>
      <c r="E158" s="162">
        <f>IFERROR(IF(Table2B.4_AQ_Dollars[[#This Row],[Year]]&gt;Closeout,(E117*INDEX(TableA6_Emissions[#All],MATCH(Table2B.4_AQ_Dollars[[#This Row],[Year]],TableA6_Emissions[Year],0),MATCH(Table2B.4_AQ_Dollars[[#Headers],[PM2.5]],TableA6_Emissions[#Headers],0))),0),0)</f>
        <v>146628.1055651409</v>
      </c>
      <c r="F158" s="162">
        <f>IFERROR(IF(Table2B.4_AQ_Dollars[[#This Row],[Year]]&gt;Closeout,F117*INDEX(TableA6_Emissions[#All],MATCH(Table2B.4_AQ_Dollars[[#This Row],[Year]],TableA6_Emissions[Year],0),MATCH(Table2B.4_AQ_Dollars[[#Headers],[CO2]],TableA6_Emissions[#Headers],0)),0),0)</f>
        <v>49022.285576385329</v>
      </c>
      <c r="G158" s="162">
        <f>IFERROR(G117*INDEX(TableA6_Emissions[#All],MATCH(Table2B.4_AQ_Dollars[[#This Row],[Year]],TableA6_Emissions[Year],0),MATCH(Table2B.4_AQ_Dollars[[#Headers],[PM10]],TableA6_Emissions[#Headers],0)),0)</f>
        <v>0</v>
      </c>
      <c r="H158" s="162">
        <f>IFERROR(H117*INDEX(TableA6_Emissions[#All],MATCH(Table2B.4_AQ_Dollars[[#This Row],[Year]],TableA6_Emissions[Year],0),MATCH(Table2B.4_AQ_Dollars[[#Headers],[VOC]],TableA6_Emissions[#Headers],0)),0)</f>
        <v>0</v>
      </c>
      <c r="I158" s="162">
        <f>SUM(Table2B.4_AQ_Dollars[[#This Row],[NOX]:[VOC]])</f>
        <v>214003.77306544382</v>
      </c>
    </row>
    <row r="159" spans="2:9">
      <c r="B159" s="134">
        <f>First_Year+'Appendix B. Project Information'!B39</f>
        <v>2042</v>
      </c>
      <c r="C159" s="162">
        <f>IFERROR(IF(Table2B.4_AQ_Dollars[[#This Row],[Year]]&gt;Closeout,(C118*INDEX(TableA6_Emissions[#All],MATCH(Table2B.4_AQ_Dollars[[#This Row],[Year]],TableA6_Emissions[Year],0),MATCH(Table2B.4_AQ_Dollars[[#Headers],[NOX]],TableA6_Emissions[#Headers],0))),0),0)</f>
        <v>19323.488642876342</v>
      </c>
      <c r="D159" s="162">
        <f>IFERROR(IF(Table2B.4_AQ_Dollars[[#This Row],[Year]]&gt;Closeout,(D118*INDEX(TableA6_Emissions[#All],MATCH(Table2B.4_AQ_Dollars[[#This Row],[Year]],TableA6_Emissions[Year],0),MATCH(Table2B.4_AQ_Dollars[[#Headers],[SOx]],TableA6_Emissions[#Headers],0))),0),0)</f>
        <v>213.0307023075739</v>
      </c>
      <c r="E159" s="162">
        <f>IFERROR(IF(Table2B.4_AQ_Dollars[[#This Row],[Year]]&gt;Closeout,(E118*INDEX(TableA6_Emissions[#All],MATCH(Table2B.4_AQ_Dollars[[#This Row],[Year]],TableA6_Emissions[Year],0),MATCH(Table2B.4_AQ_Dollars[[#Headers],[PM2.5]],TableA6_Emissions[#Headers],0))),0),0)</f>
        <v>156810.18448606163</v>
      </c>
      <c r="F159" s="162">
        <f>IFERROR(IF(Table2B.4_AQ_Dollars[[#This Row],[Year]]&gt;Closeout,F118*INDEX(TableA6_Emissions[#All],MATCH(Table2B.4_AQ_Dollars[[#This Row],[Year]],TableA6_Emissions[Year],0),MATCH(Table2B.4_AQ_Dollars[[#Headers],[CO2]],TableA6_Emissions[#Headers],0)),0),0)</f>
        <v>53577.824937238911</v>
      </c>
      <c r="G159" s="162">
        <f>IFERROR(G118*INDEX(TableA6_Emissions[#All],MATCH(Table2B.4_AQ_Dollars[[#This Row],[Year]],TableA6_Emissions[Year],0),MATCH(Table2B.4_AQ_Dollars[[#Headers],[PM10]],TableA6_Emissions[#Headers],0)),0)</f>
        <v>0</v>
      </c>
      <c r="H159" s="162">
        <f>IFERROR(H118*INDEX(TableA6_Emissions[#All],MATCH(Table2B.4_AQ_Dollars[[#This Row],[Year]],TableA6_Emissions[Year],0),MATCH(Table2B.4_AQ_Dollars[[#Headers],[VOC]],TableA6_Emissions[#Headers],0)),0)</f>
        <v>0</v>
      </c>
      <c r="I159" s="162">
        <f>SUM(Table2B.4_AQ_Dollars[[#This Row],[NOX]:[VOC]])</f>
        <v>229924.52876848445</v>
      </c>
    </row>
    <row r="160" spans="2:9">
      <c r="B160" s="134">
        <f>First_Year+'Appendix B. Project Information'!B40</f>
        <v>2043</v>
      </c>
      <c r="C160" s="162">
        <f>IFERROR(IF(Table2B.4_AQ_Dollars[[#This Row],[Year]]&gt;Closeout,(C119*INDEX(TableA6_Emissions[#All],MATCH(Table2B.4_AQ_Dollars[[#This Row],[Year]],TableA6_Emissions[Year],0),MATCH(Table2B.4_AQ_Dollars[[#Headers],[NOX]],TableA6_Emissions[#Headers],0))),0),0)</f>
        <v>20493.644259754823</v>
      </c>
      <c r="D160" s="162">
        <f>IFERROR(IF(Table2B.4_AQ_Dollars[[#This Row],[Year]]&gt;Closeout,(D119*INDEX(TableA6_Emissions[#All],MATCH(Table2B.4_AQ_Dollars[[#This Row],[Year]],TableA6_Emissions[Year],0),MATCH(Table2B.4_AQ_Dollars[[#Headers],[SOx]],TableA6_Emissions[#Headers],0))),0),0)</f>
        <v>226.01250669540838</v>
      </c>
      <c r="E160" s="162">
        <f>IFERROR(IF(Table2B.4_AQ_Dollars[[#This Row],[Year]]&gt;Closeout,(E119*INDEX(TableA6_Emissions[#All],MATCH(Table2B.4_AQ_Dollars[[#This Row],[Year]],TableA6_Emissions[Year],0),MATCH(Table2B.4_AQ_Dollars[[#Headers],[PM2.5]],TableA6_Emissions[#Headers],0))),0),0)</f>
        <v>166992.26340698233</v>
      </c>
      <c r="F160" s="162">
        <f>IFERROR(IF(Table2B.4_AQ_Dollars[[#This Row],[Year]]&gt;Closeout,F119*INDEX(TableA6_Emissions[#All],MATCH(Table2B.4_AQ_Dollars[[#This Row],[Year]],TableA6_Emissions[Year],0),MATCH(Table2B.4_AQ_Dollars[[#Headers],[CO2]],TableA6_Emissions[#Headers],0)),0),0)</f>
        <v>57572.064460978145</v>
      </c>
      <c r="G160" s="162">
        <f>IFERROR(G119*INDEX(TableA6_Emissions[#All],MATCH(Table2B.4_AQ_Dollars[[#This Row],[Year]],TableA6_Emissions[Year],0),MATCH(Table2B.4_AQ_Dollars[[#Headers],[PM10]],TableA6_Emissions[#Headers],0)),0)</f>
        <v>0</v>
      </c>
      <c r="H160" s="162">
        <f>IFERROR(H119*INDEX(TableA6_Emissions[#All],MATCH(Table2B.4_AQ_Dollars[[#This Row],[Year]],TableA6_Emissions[Year],0),MATCH(Table2B.4_AQ_Dollars[[#Headers],[VOC]],TableA6_Emissions[#Headers],0)),0)</f>
        <v>0</v>
      </c>
      <c r="I160" s="162">
        <f>SUM(Table2B.4_AQ_Dollars[[#This Row],[NOX]:[VOC]])</f>
        <v>245283.98463441071</v>
      </c>
    </row>
    <row r="161" spans="2:9">
      <c r="B161" s="134">
        <f>First_Year+'Appendix B. Project Information'!B41</f>
        <v>2044</v>
      </c>
      <c r="C161" s="162">
        <f>IFERROR(IF(Table2B.4_AQ_Dollars[[#This Row],[Year]]&gt;Closeout,(C120*INDEX(TableA6_Emissions[#All],MATCH(Table2B.4_AQ_Dollars[[#This Row],[Year]],TableA6_Emissions[Year],0),MATCH(Table2B.4_AQ_Dollars[[#Headers],[NOX]],TableA6_Emissions[#Headers],0))),0),0)</f>
        <v>21663.7998766333</v>
      </c>
      <c r="D161" s="162">
        <f>IFERROR(IF(Table2B.4_AQ_Dollars[[#This Row],[Year]]&gt;Closeout,(D120*INDEX(TableA6_Emissions[#All],MATCH(Table2B.4_AQ_Dollars[[#This Row],[Year]],TableA6_Emissions[Year],0),MATCH(Table2B.4_AQ_Dollars[[#Headers],[SOx]],TableA6_Emissions[#Headers],0))),0),0)</f>
        <v>238.99431108324282</v>
      </c>
      <c r="E161" s="162">
        <f>IFERROR(IF(Table2B.4_AQ_Dollars[[#This Row],[Year]]&gt;Closeout,(E120*INDEX(TableA6_Emissions[#All],MATCH(Table2B.4_AQ_Dollars[[#This Row],[Year]],TableA6_Emissions[Year],0),MATCH(Table2B.4_AQ_Dollars[[#Headers],[PM2.5]],TableA6_Emissions[#Headers],0))),0),0)</f>
        <v>177174.34232790305</v>
      </c>
      <c r="F161" s="162">
        <f>IFERROR(IF(Table2B.4_AQ_Dollars[[#This Row],[Year]]&gt;Closeout,F120*INDEX(TableA6_Emissions[#All],MATCH(Table2B.4_AQ_Dollars[[#This Row],[Year]],TableA6_Emissions[Year],0),MATCH(Table2B.4_AQ_Dollars[[#Headers],[CO2]],TableA6_Emissions[#Headers],0)),0),0)</f>
        <v>61650.034220976522</v>
      </c>
      <c r="G161" s="162">
        <f>IFERROR(G120*INDEX(TableA6_Emissions[#All],MATCH(Table2B.4_AQ_Dollars[[#This Row],[Year]],TableA6_Emissions[Year],0),MATCH(Table2B.4_AQ_Dollars[[#Headers],[PM10]],TableA6_Emissions[#Headers],0)),0)</f>
        <v>0</v>
      </c>
      <c r="H161" s="162">
        <f>IFERROR(H120*INDEX(TableA6_Emissions[#All],MATCH(Table2B.4_AQ_Dollars[[#This Row],[Year]],TableA6_Emissions[Year],0),MATCH(Table2B.4_AQ_Dollars[[#Headers],[VOC]],TableA6_Emissions[#Headers],0)),0)</f>
        <v>0</v>
      </c>
      <c r="I161" s="162">
        <f>SUM(Table2B.4_AQ_Dollars[[#This Row],[NOX]:[VOC]])</f>
        <v>260727.1707365961</v>
      </c>
    </row>
    <row r="162" spans="2:9">
      <c r="B162" s="134">
        <f>First_Year+'Appendix B. Project Information'!B42</f>
        <v>2045</v>
      </c>
      <c r="C162" s="162">
        <f>IFERROR(IF(Table2B.4_AQ_Dollars[[#This Row],[Year]]&gt;Closeout,(C121*INDEX(TableA6_Emissions[#All],MATCH(Table2B.4_AQ_Dollars[[#This Row],[Year]],TableA6_Emissions[Year],0),MATCH(Table2B.4_AQ_Dollars[[#Headers],[NOX]],TableA6_Emissions[#Headers],0))),0),0)</f>
        <v>22833.955493511778</v>
      </c>
      <c r="D162" s="162">
        <f>IFERROR(IF(Table2B.4_AQ_Dollars[[#This Row],[Year]]&gt;Closeout,(D121*INDEX(TableA6_Emissions[#All],MATCH(Table2B.4_AQ_Dollars[[#This Row],[Year]],TableA6_Emissions[Year],0),MATCH(Table2B.4_AQ_Dollars[[#Headers],[SOx]],TableA6_Emissions[#Headers],0))),0),0)</f>
        <v>251.97611547107726</v>
      </c>
      <c r="E162" s="162">
        <f>IFERROR(IF(Table2B.4_AQ_Dollars[[#This Row],[Year]]&gt;Closeout,(E121*INDEX(TableA6_Emissions[#All],MATCH(Table2B.4_AQ_Dollars[[#This Row],[Year]],TableA6_Emissions[Year],0),MATCH(Table2B.4_AQ_Dollars[[#Headers],[PM2.5]],TableA6_Emissions[#Headers],0))),0),0)</f>
        <v>187356.42124882375</v>
      </c>
      <c r="F162" s="162">
        <f>IFERROR(IF(Table2B.4_AQ_Dollars[[#This Row],[Year]]&gt;Closeout,F121*INDEX(TableA6_Emissions[#All],MATCH(Table2B.4_AQ_Dollars[[#This Row],[Year]],TableA6_Emissions[Year],0),MATCH(Table2B.4_AQ_Dollars[[#Headers],[CO2]],TableA6_Emissions[#Headers],0)),0),0)</f>
        <v>65811.734217234043</v>
      </c>
      <c r="G162" s="162">
        <f>IFERROR(G121*INDEX(TableA6_Emissions[#All],MATCH(Table2B.4_AQ_Dollars[[#This Row],[Year]],TableA6_Emissions[Year],0),MATCH(Table2B.4_AQ_Dollars[[#Headers],[PM10]],TableA6_Emissions[#Headers],0)),0)</f>
        <v>0</v>
      </c>
      <c r="H162" s="162">
        <f>IFERROR(H121*INDEX(TableA6_Emissions[#All],MATCH(Table2B.4_AQ_Dollars[[#This Row],[Year]],TableA6_Emissions[Year],0),MATCH(Table2B.4_AQ_Dollars[[#Headers],[VOC]],TableA6_Emissions[#Headers],0)),0)</f>
        <v>0</v>
      </c>
      <c r="I162" s="162">
        <f>SUM(Table2B.4_AQ_Dollars[[#This Row],[NOX]:[VOC]])</f>
        <v>276254.08707504068</v>
      </c>
    </row>
    <row r="163" spans="2:9">
      <c r="B163" s="134">
        <f>First_Year+'Appendix B. Project Information'!B43</f>
        <v>2046</v>
      </c>
      <c r="C163" s="162">
        <f>IFERROR(IF(Table2B.4_AQ_Dollars[[#This Row],[Year]]&gt;Closeout,(C122*INDEX(TableA6_Emissions[#All],MATCH(Table2B.4_AQ_Dollars[[#This Row],[Year]],TableA6_Emissions[Year],0),MATCH(Table2B.4_AQ_Dollars[[#Headers],[NOX]],TableA6_Emissions[#Headers],0))),0),0)</f>
        <v>24004.111110390255</v>
      </c>
      <c r="D163" s="162">
        <f>IFERROR(IF(Table2B.4_AQ_Dollars[[#This Row],[Year]]&gt;Closeout,(D122*INDEX(TableA6_Emissions[#All],MATCH(Table2B.4_AQ_Dollars[[#This Row],[Year]],TableA6_Emissions[Year],0),MATCH(Table2B.4_AQ_Dollars[[#Headers],[SOx]],TableA6_Emissions[#Headers],0))),0),0)</f>
        <v>264.95791985891174</v>
      </c>
      <c r="E163" s="162">
        <f>IFERROR(IF(Table2B.4_AQ_Dollars[[#This Row],[Year]]&gt;Closeout,(E122*INDEX(TableA6_Emissions[#All],MATCH(Table2B.4_AQ_Dollars[[#This Row],[Year]],TableA6_Emissions[Year],0),MATCH(Table2B.4_AQ_Dollars[[#Headers],[PM2.5]],TableA6_Emissions[#Headers],0))),0),0)</f>
        <v>197538.50016974448</v>
      </c>
      <c r="F163" s="162">
        <f>IFERROR(IF(Table2B.4_AQ_Dollars[[#This Row],[Year]]&gt;Closeout,F122*INDEX(TableA6_Emissions[#All],MATCH(Table2B.4_AQ_Dollars[[#This Row],[Year]],TableA6_Emissions[Year],0),MATCH(Table2B.4_AQ_Dollars[[#Headers],[CO2]],TableA6_Emissions[#Headers],0)),0),0)</f>
        <v>70057.164449750708</v>
      </c>
      <c r="G163" s="162">
        <f>IFERROR(G122*INDEX(TableA6_Emissions[#All],MATCH(Table2B.4_AQ_Dollars[[#This Row],[Year]],TableA6_Emissions[Year],0),MATCH(Table2B.4_AQ_Dollars[[#Headers],[PM10]],TableA6_Emissions[#Headers],0)),0)</f>
        <v>0</v>
      </c>
      <c r="H163" s="162">
        <f>IFERROR(H122*INDEX(TableA6_Emissions[#All],MATCH(Table2B.4_AQ_Dollars[[#This Row],[Year]],TableA6_Emissions[Year],0),MATCH(Table2B.4_AQ_Dollars[[#Headers],[VOC]],TableA6_Emissions[#Headers],0)),0)</f>
        <v>0</v>
      </c>
      <c r="I163" s="162">
        <f>SUM(Table2B.4_AQ_Dollars[[#This Row],[NOX]:[VOC]])</f>
        <v>291864.73364974436</v>
      </c>
    </row>
    <row r="164" spans="2:9">
      <c r="B164" s="134">
        <f>First_Year+'Appendix B. Project Information'!B44</f>
        <v>2047</v>
      </c>
      <c r="C164" s="162">
        <f>IFERROR(IF(Table2B.4_AQ_Dollars[[#This Row],[Year]]&gt;Closeout,(C123*INDEX(TableA6_Emissions[#All],MATCH(Table2B.4_AQ_Dollars[[#This Row],[Year]],TableA6_Emissions[Year],0),MATCH(Table2B.4_AQ_Dollars[[#Headers],[NOX]],TableA6_Emissions[#Headers],0))),0),0)</f>
        <v>25174.266727268736</v>
      </c>
      <c r="D164" s="162">
        <f>IFERROR(IF(Table2B.4_AQ_Dollars[[#This Row],[Year]]&gt;Closeout,(D123*INDEX(TableA6_Emissions[#All],MATCH(Table2B.4_AQ_Dollars[[#This Row],[Year]],TableA6_Emissions[Year],0),MATCH(Table2B.4_AQ_Dollars[[#Headers],[SOx]],TableA6_Emissions[#Headers],0))),0),0)</f>
        <v>277.93972424674615</v>
      </c>
      <c r="E164" s="162">
        <f>IFERROR(IF(Table2B.4_AQ_Dollars[[#This Row],[Year]]&gt;Closeout,(E123*INDEX(TableA6_Emissions[#All],MATCH(Table2B.4_AQ_Dollars[[#This Row],[Year]],TableA6_Emissions[Year],0),MATCH(Table2B.4_AQ_Dollars[[#Headers],[PM2.5]],TableA6_Emissions[#Headers],0))),0),0)</f>
        <v>207720.57909066521</v>
      </c>
      <c r="F164" s="162">
        <f>IFERROR(IF(Table2B.4_AQ_Dollars[[#This Row],[Year]]&gt;Closeout,F123*INDEX(TableA6_Emissions[#All],MATCH(Table2B.4_AQ_Dollars[[#This Row],[Year]],TableA6_Emissions[Year],0),MATCH(Table2B.4_AQ_Dollars[[#Headers],[CO2]],TableA6_Emissions[#Headers],0)),0),0)</f>
        <v>75282.545700677438</v>
      </c>
      <c r="G164" s="162">
        <f>IFERROR(G123*INDEX(TableA6_Emissions[#All],MATCH(Table2B.4_AQ_Dollars[[#This Row],[Year]],TableA6_Emissions[Year],0),MATCH(Table2B.4_AQ_Dollars[[#Headers],[PM10]],TableA6_Emissions[#Headers],0)),0)</f>
        <v>0</v>
      </c>
      <c r="H164" s="162">
        <f>IFERROR(H123*INDEX(TableA6_Emissions[#All],MATCH(Table2B.4_AQ_Dollars[[#This Row],[Year]],TableA6_Emissions[Year],0),MATCH(Table2B.4_AQ_Dollars[[#Headers],[VOC]],TableA6_Emissions[#Headers],0)),0)</f>
        <v>0</v>
      </c>
      <c r="I164" s="162">
        <f>SUM(Table2B.4_AQ_Dollars[[#This Row],[NOX]:[VOC]])</f>
        <v>308455.33124285814</v>
      </c>
    </row>
    <row r="165" spans="2:9">
      <c r="B165" s="134">
        <f>First_Year+'Appendix B. Project Information'!B45</f>
        <v>2048</v>
      </c>
      <c r="C165" s="162">
        <f>IFERROR(IF(Table2B.4_AQ_Dollars[[#This Row],[Year]]&gt;Closeout,(C124*INDEX(TableA6_Emissions[#All],MATCH(Table2B.4_AQ_Dollars[[#This Row],[Year]],TableA6_Emissions[Year],0),MATCH(Table2B.4_AQ_Dollars[[#Headers],[NOX]],TableA6_Emissions[#Headers],0))),0),0)</f>
        <v>26344.422344147213</v>
      </c>
      <c r="D165" s="162">
        <f>IFERROR(IF(Table2B.4_AQ_Dollars[[#This Row],[Year]]&gt;Closeout,(D124*INDEX(TableA6_Emissions[#All],MATCH(Table2B.4_AQ_Dollars[[#This Row],[Year]],TableA6_Emissions[Year],0),MATCH(Table2B.4_AQ_Dollars[[#Headers],[SOx]],TableA6_Emissions[#Headers],0))),0),0)</f>
        <v>290.92152863458062</v>
      </c>
      <c r="E165" s="162">
        <f>IFERROR(IF(Table2B.4_AQ_Dollars[[#This Row],[Year]]&gt;Closeout,(E124*INDEX(TableA6_Emissions[#All],MATCH(Table2B.4_AQ_Dollars[[#This Row],[Year]],TableA6_Emissions[Year],0),MATCH(Table2B.4_AQ_Dollars[[#Headers],[PM2.5]],TableA6_Emissions[#Headers],0))),0),0)</f>
        <v>217902.65801158591</v>
      </c>
      <c r="F165" s="162">
        <f>IFERROR(IF(Table2B.4_AQ_Dollars[[#This Row],[Year]]&gt;Closeout,F124*INDEX(TableA6_Emissions[#All],MATCH(Table2B.4_AQ_Dollars[[#This Row],[Year]],TableA6_Emissions[Year],0),MATCH(Table2B.4_AQ_Dollars[[#Headers],[CO2]],TableA6_Emissions[#Headers],0)),0),0)</f>
        <v>79737.301523841961</v>
      </c>
      <c r="G165" s="162">
        <f>IFERROR(G124*INDEX(TableA6_Emissions[#All],MATCH(Table2B.4_AQ_Dollars[[#This Row],[Year]],TableA6_Emissions[Year],0),MATCH(Table2B.4_AQ_Dollars[[#Headers],[PM10]],TableA6_Emissions[#Headers],0)),0)</f>
        <v>0</v>
      </c>
      <c r="H165" s="162">
        <f>IFERROR(H124*INDEX(TableA6_Emissions[#All],MATCH(Table2B.4_AQ_Dollars[[#This Row],[Year]],TableA6_Emissions[Year],0),MATCH(Table2B.4_AQ_Dollars[[#Headers],[VOC]],TableA6_Emissions[#Headers],0)),0)</f>
        <v>0</v>
      </c>
      <c r="I165" s="162">
        <f>SUM(Table2B.4_AQ_Dollars[[#This Row],[NOX]:[VOC]])</f>
        <v>324275.30340820964</v>
      </c>
    </row>
    <row r="166" spans="2:9">
      <c r="B166" s="134">
        <f>First_Year+'Appendix B. Project Information'!B46</f>
        <v>2049</v>
      </c>
      <c r="C166" s="162">
        <f>IFERROR(IF(Table2B.4_AQ_Dollars[[#This Row],[Year]]&gt;Closeout,(C125*INDEX(TableA6_Emissions[#All],MATCH(Table2B.4_AQ_Dollars[[#This Row],[Year]],TableA6_Emissions[Year],0),MATCH(Table2B.4_AQ_Dollars[[#Headers],[NOX]],TableA6_Emissions[#Headers],0))),0),0)</f>
        <v>27514.57796102569</v>
      </c>
      <c r="D166" s="162">
        <f>IFERROR(IF(Table2B.4_AQ_Dollars[[#This Row],[Year]]&gt;Closeout,(D125*INDEX(TableA6_Emissions[#All],MATCH(Table2B.4_AQ_Dollars[[#This Row],[Year]],TableA6_Emissions[Year],0),MATCH(Table2B.4_AQ_Dollars[[#Headers],[SOx]],TableA6_Emissions[#Headers],0))),0),0)</f>
        <v>303.90333302241504</v>
      </c>
      <c r="E166" s="162">
        <f>IFERROR(IF(Table2B.4_AQ_Dollars[[#This Row],[Year]]&gt;Closeout,(E125*INDEX(TableA6_Emissions[#All],MATCH(Table2B.4_AQ_Dollars[[#This Row],[Year]],TableA6_Emissions[Year],0),MATCH(Table2B.4_AQ_Dollars[[#Headers],[PM2.5]],TableA6_Emissions[#Headers],0))),0),0)</f>
        <v>228084.73693250664</v>
      </c>
      <c r="F166" s="162">
        <f>IFERROR(IF(Table2B.4_AQ_Dollars[[#This Row],[Year]]&gt;Closeout,F125*INDEX(TableA6_Emissions[#All],MATCH(Table2B.4_AQ_Dollars[[#This Row],[Year]],TableA6_Emissions[Year],0),MATCH(Table2B.4_AQ_Dollars[[#Headers],[CO2]],TableA6_Emissions[#Headers],0)),0),0)</f>
        <v>84275.787583265628</v>
      </c>
      <c r="G166" s="162">
        <f>IFERROR(G125*INDEX(TableA6_Emissions[#All],MATCH(Table2B.4_AQ_Dollars[[#This Row],[Year]],TableA6_Emissions[Year],0),MATCH(Table2B.4_AQ_Dollars[[#Headers],[PM10]],TableA6_Emissions[#Headers],0)),0)</f>
        <v>0</v>
      </c>
      <c r="H166" s="162">
        <f>IFERROR(H125*INDEX(TableA6_Emissions[#All],MATCH(Table2B.4_AQ_Dollars[[#This Row],[Year]],TableA6_Emissions[Year],0),MATCH(Table2B.4_AQ_Dollars[[#Headers],[VOC]],TableA6_Emissions[#Headers],0)),0)</f>
        <v>0</v>
      </c>
      <c r="I166" s="162">
        <f>SUM(Table2B.4_AQ_Dollars[[#This Row],[NOX]:[VOC]])</f>
        <v>340179.00580982037</v>
      </c>
    </row>
    <row r="167" spans="2:9">
      <c r="B167" s="134">
        <f>First_Year+'Appendix B. Project Information'!B47</f>
        <v>2050</v>
      </c>
      <c r="C167" s="162">
        <f>IFERROR(IF(Table2B.4_AQ_Dollars[[#This Row],[Year]]&gt;Closeout,(C126*INDEX(TableA6_Emissions[#All],MATCH(Table2B.4_AQ_Dollars[[#This Row],[Year]],TableA6_Emissions[Year],0),MATCH(Table2B.4_AQ_Dollars[[#Headers],[NOX]],TableA6_Emissions[#Headers],0))),0),0)</f>
        <v>28684.733577904102</v>
      </c>
      <c r="D167" s="162">
        <f>IFERROR(IF(Table2B.4_AQ_Dollars[[#This Row],[Year]]&gt;Closeout,(D126*INDEX(TableA6_Emissions[#All],MATCH(Table2B.4_AQ_Dollars[[#This Row],[Year]],TableA6_Emissions[Year],0),MATCH(Table2B.4_AQ_Dollars[[#Headers],[SOx]],TableA6_Emissions[#Headers],0))),0),0)</f>
        <v>316.88513741024951</v>
      </c>
      <c r="E167" s="162">
        <f>IFERROR(IF(Table2B.4_AQ_Dollars[[#This Row],[Year]]&gt;Closeout,(E126*INDEX(TableA6_Emissions[#All],MATCH(Table2B.4_AQ_Dollars[[#This Row],[Year]],TableA6_Emissions[Year],0),MATCH(Table2B.4_AQ_Dollars[[#Headers],[PM2.5]],TableA6_Emissions[#Headers],0))),0),0)</f>
        <v>238266.81585342737</v>
      </c>
      <c r="F167" s="162">
        <f>IFERROR(IF(Table2B.4_AQ_Dollars[[#This Row],[Year]]&gt;Closeout,F126*INDEX(TableA6_Emissions[#All],MATCH(Table2B.4_AQ_Dollars[[#This Row],[Year]],TableA6_Emissions[Year],0),MATCH(Table2B.4_AQ_Dollars[[#Headers],[CO2]],TableA6_Emissions[#Headers],0)),0),0)</f>
        <v>88898.003878948439</v>
      </c>
      <c r="G167" s="162">
        <f>IFERROR(G126*INDEX(TableA6_Emissions[#All],MATCH(Table2B.4_AQ_Dollars[[#This Row],[Year]],TableA6_Emissions[Year],0),MATCH(Table2B.4_AQ_Dollars[[#Headers],[PM10]],TableA6_Emissions[#Headers],0)),0)</f>
        <v>0</v>
      </c>
      <c r="H167" s="162">
        <f>IFERROR(H126*INDEX(TableA6_Emissions[#All],MATCH(Table2B.4_AQ_Dollars[[#This Row],[Year]],TableA6_Emissions[Year],0),MATCH(Table2B.4_AQ_Dollars[[#Headers],[VOC]],TableA6_Emissions[#Headers],0)),0)</f>
        <v>0</v>
      </c>
      <c r="I167" s="162">
        <f>SUM(Table2B.4_AQ_Dollars[[#This Row],[NOX]:[VOC]])</f>
        <v>356166.43844769016</v>
      </c>
    </row>
    <row r="168" spans="2:9">
      <c r="B168" s="134">
        <f>First_Year+'Appendix B. Project Information'!B48</f>
        <v>2051</v>
      </c>
      <c r="C168" s="162">
        <f>IFERROR(IF(Table2B.4_AQ_Dollars[[#This Row],[Year]]&gt;Closeout,(C127*INDEX(TableA6_Emissions[#All],MATCH(Table2B.4_AQ_Dollars[[#This Row],[Year]],TableA6_Emissions[Year],0),MATCH(Table2B.4_AQ_Dollars[[#Headers],[NOX]],TableA6_Emissions[#Headers],0))),0),0)</f>
        <v>29854.889194782514</v>
      </c>
      <c r="D168" s="162">
        <f>IFERROR(IF(Table2B.4_AQ_Dollars[[#This Row],[Year]]&gt;Closeout,(D127*INDEX(TableA6_Emissions[#All],MATCH(Table2B.4_AQ_Dollars[[#This Row],[Year]],TableA6_Emissions[Year],0),MATCH(Table2B.4_AQ_Dollars[[#Headers],[SOx]],TableA6_Emissions[#Headers],0))),0),0)</f>
        <v>329.86694179808399</v>
      </c>
      <c r="E168" s="162">
        <f>IFERROR(IF(Table2B.4_AQ_Dollars[[#This Row],[Year]]&gt;Closeout,(E127*INDEX(TableA6_Emissions[#All],MATCH(Table2B.4_AQ_Dollars[[#This Row],[Year]],TableA6_Emissions[Year],0),MATCH(Table2B.4_AQ_Dollars[[#Headers],[PM2.5]],TableA6_Emissions[#Headers],0))),0),0)</f>
        <v>248448.89477434807</v>
      </c>
      <c r="F168" s="162">
        <f>IFERROR(IF(Table2B.4_AQ_Dollars[[#This Row],[Year]]&gt;Closeout,F127*INDEX(TableA6_Emissions[#All],MATCH(Table2B.4_AQ_Dollars[[#This Row],[Year]],TableA6_Emissions[Year],0),MATCH(Table2B.4_AQ_Dollars[[#Headers],[CO2]],TableA6_Emissions[#Headers],0)),0),0)</f>
        <v>93603.950410890393</v>
      </c>
      <c r="G168" s="162">
        <f>IFERROR(G127*INDEX(TableA6_Emissions[#All],MATCH(Table2B.4_AQ_Dollars[[#This Row],[Year]],TableA6_Emissions[Year],0),MATCH(Table2B.4_AQ_Dollars[[#Headers],[PM10]],TableA6_Emissions[#Headers],0)),0)</f>
        <v>0</v>
      </c>
      <c r="H168" s="162">
        <f>IFERROR(H127*INDEX(TableA6_Emissions[#All],MATCH(Table2B.4_AQ_Dollars[[#This Row],[Year]],TableA6_Emissions[Year],0),MATCH(Table2B.4_AQ_Dollars[[#Headers],[VOC]],TableA6_Emissions[#Headers],0)),0)</f>
        <v>0</v>
      </c>
      <c r="I168" s="162">
        <f>SUM(Table2B.4_AQ_Dollars[[#This Row],[NOX]:[VOC]])</f>
        <v>372237.60132181906</v>
      </c>
    </row>
    <row r="169" spans="2:9">
      <c r="B169" s="134">
        <f>First_Year+'Appendix B. Project Information'!B49</f>
        <v>2052</v>
      </c>
      <c r="C169" s="162">
        <f>IFERROR(IF(Table2B.4_AQ_Dollars[[#This Row],[Year]]&gt;Closeout,(C128*INDEX(TableA6_Emissions[#All],MATCH(Table2B.4_AQ_Dollars[[#This Row],[Year]],TableA6_Emissions[Year],0),MATCH(Table2B.4_AQ_Dollars[[#Headers],[NOX]],TableA6_Emissions[#Headers],0))),0),0)</f>
        <v>31025.044811660857</v>
      </c>
      <c r="D169" s="162">
        <f>IFERROR(IF(Table2B.4_AQ_Dollars[[#This Row],[Year]]&gt;Closeout,(D128*INDEX(TableA6_Emissions[#All],MATCH(Table2B.4_AQ_Dollars[[#This Row],[Year]],TableA6_Emissions[Year],0),MATCH(Table2B.4_AQ_Dollars[[#Headers],[SOx]],TableA6_Emissions[#Headers],0))),0),0)</f>
        <v>342.8487461859184</v>
      </c>
      <c r="E169" s="162">
        <f>IFERROR(IF(Table2B.4_AQ_Dollars[[#This Row],[Year]]&gt;Closeout,(E128*INDEX(TableA6_Emissions[#All],MATCH(Table2B.4_AQ_Dollars[[#This Row],[Year]],TableA6_Emissions[Year],0),MATCH(Table2B.4_AQ_Dollars[[#Headers],[PM2.5]],TableA6_Emissions[#Headers],0))),0),0)</f>
        <v>258630.9736952688</v>
      </c>
      <c r="F169" s="162">
        <f>IFERROR(IF(Table2B.4_AQ_Dollars[[#This Row],[Year]]&gt;Closeout,F128*INDEX(TableA6_Emissions[#All],MATCH(Table2B.4_AQ_Dollars[[#This Row],[Year]],TableA6_Emissions[Year],0),MATCH(Table2B.4_AQ_Dollars[[#Headers],[CO2]],TableA6_Emissions[#Headers],0)),0),0)</f>
        <v>97288.08080629271</v>
      </c>
      <c r="G169" s="162">
        <f>IFERROR(G128*INDEX(TableA6_Emissions[#All],MATCH(Table2B.4_AQ_Dollars[[#This Row],[Year]],TableA6_Emissions[Year],0),MATCH(Table2B.4_AQ_Dollars[[#Headers],[PM10]],TableA6_Emissions[#Headers],0)),0)</f>
        <v>0</v>
      </c>
      <c r="H169" s="162">
        <f>IFERROR(H128*INDEX(TableA6_Emissions[#All],MATCH(Table2B.4_AQ_Dollars[[#This Row],[Year]],TableA6_Emissions[Year],0),MATCH(Table2B.4_AQ_Dollars[[#Headers],[VOC]],TableA6_Emissions[#Headers],0)),0)</f>
        <v>0</v>
      </c>
      <c r="I169" s="162">
        <f>SUM(Table2B.4_AQ_Dollars[[#This Row],[NOX]:[VOC]])</f>
        <v>387286.94805940829</v>
      </c>
    </row>
    <row r="170" spans="2:9">
      <c r="B170" s="134">
        <f>First_Year+'Appendix B. Project Information'!B50</f>
        <v>2053</v>
      </c>
      <c r="C170" s="162">
        <f>IFERROR(IF(Table2B.4_AQ_Dollars[[#This Row],[Year]]&gt;Closeout,(C129*INDEX(TableA6_Emissions[#All],MATCH(Table2B.4_AQ_Dollars[[#This Row],[Year]],TableA6_Emissions[Year],0),MATCH(Table2B.4_AQ_Dollars[[#Headers],[NOX]],TableA6_Emissions[#Headers],0))),0),0)</f>
        <v>32195.200428539203</v>
      </c>
      <c r="D170" s="162">
        <f>IFERROR(IF(Table2B.4_AQ_Dollars[[#This Row],[Year]]&gt;Closeout,(D129*INDEX(TableA6_Emissions[#All],MATCH(Table2B.4_AQ_Dollars[[#This Row],[Year]],TableA6_Emissions[Year],0),MATCH(Table2B.4_AQ_Dollars[[#Headers],[SOx]],TableA6_Emissions[#Headers],0))),0),0)</f>
        <v>355.83055057375287</v>
      </c>
      <c r="E170" s="162">
        <f>IFERROR(IF(Table2B.4_AQ_Dollars[[#This Row],[Year]]&gt;Closeout,(E129*INDEX(TableA6_Emissions[#All],MATCH(Table2B.4_AQ_Dollars[[#This Row],[Year]],TableA6_Emissions[Year],0),MATCH(Table2B.4_AQ_Dollars[[#Headers],[PM2.5]],TableA6_Emissions[#Headers],0))),0),0)</f>
        <v>268813.05261618952</v>
      </c>
      <c r="F170" s="162">
        <f>IFERROR(IF(Table2B.4_AQ_Dollars[[#This Row],[Year]]&gt;Closeout,F129*INDEX(TableA6_Emissions[#All],MATCH(Table2B.4_AQ_Dollars[[#This Row],[Year]],TableA6_Emissions[Year],0),MATCH(Table2B.4_AQ_Dollars[[#Headers],[CO2]],TableA6_Emissions[#Headers],0)),0),0)</f>
        <v>100972.21120169503</v>
      </c>
      <c r="G170" s="162">
        <f>IFERROR(G129*INDEX(TableA6_Emissions[#All],MATCH(Table2B.4_AQ_Dollars[[#This Row],[Year]],TableA6_Emissions[Year],0),MATCH(Table2B.4_AQ_Dollars[[#Headers],[PM10]],TableA6_Emissions[#Headers],0)),0)</f>
        <v>0</v>
      </c>
      <c r="H170" s="162">
        <f>IFERROR(H129*INDEX(TableA6_Emissions[#All],MATCH(Table2B.4_AQ_Dollars[[#This Row],[Year]],TableA6_Emissions[Year],0),MATCH(Table2B.4_AQ_Dollars[[#Headers],[VOC]],TableA6_Emissions[#Headers],0)),0)</f>
        <v>0</v>
      </c>
      <c r="I170" s="162">
        <f>SUM(Table2B.4_AQ_Dollars[[#This Row],[NOX]:[VOC]])</f>
        <v>402336.29479699751</v>
      </c>
    </row>
    <row r="171" spans="2:9">
      <c r="B171" s="134">
        <f>First_Year+'Appendix B. Project Information'!B51</f>
        <v>2054</v>
      </c>
      <c r="C171" s="162">
        <f>IFERROR(IF(Table2B.4_AQ_Dollars[[#This Row],[Year]]&gt;Closeout,(C130*INDEX(TableA6_Emissions[#All],MATCH(Table2B.4_AQ_Dollars[[#This Row],[Year]],TableA6_Emissions[Year],0),MATCH(Table2B.4_AQ_Dollars[[#Headers],[NOX]],TableA6_Emissions[#Headers],0))),0),0)</f>
        <v>33365.356045417546</v>
      </c>
      <c r="D171" s="162">
        <f>IFERROR(IF(Table2B.4_AQ_Dollars[[#This Row],[Year]]&gt;Closeout,(D130*INDEX(TableA6_Emissions[#All],MATCH(Table2B.4_AQ_Dollars[[#This Row],[Year]],TableA6_Emissions[Year],0),MATCH(Table2B.4_AQ_Dollars[[#Headers],[SOx]],TableA6_Emissions[#Headers],0))),0),0)</f>
        <v>368.81235496158735</v>
      </c>
      <c r="E171" s="162">
        <f>IFERROR(IF(Table2B.4_AQ_Dollars[[#This Row],[Year]]&gt;Closeout,(E130*INDEX(TableA6_Emissions[#All],MATCH(Table2B.4_AQ_Dollars[[#This Row],[Year]],TableA6_Emissions[Year],0),MATCH(Table2B.4_AQ_Dollars[[#Headers],[PM2.5]],TableA6_Emissions[#Headers],0))),0),0)</f>
        <v>278995.13153711025</v>
      </c>
      <c r="F171" s="162">
        <f>IFERROR(IF(Table2B.4_AQ_Dollars[[#This Row],[Year]]&gt;Closeout,F130*INDEX(TableA6_Emissions[#All],MATCH(Table2B.4_AQ_Dollars[[#This Row],[Year]],TableA6_Emissions[Year],0),MATCH(Table2B.4_AQ_Dollars[[#Headers],[CO2]],TableA6_Emissions[#Headers],0)),0),0)</f>
        <v>104656.34159709734</v>
      </c>
      <c r="G171" s="162">
        <f>IFERROR(G130*INDEX(TableA6_Emissions[#All],MATCH(Table2B.4_AQ_Dollars[[#This Row],[Year]],TableA6_Emissions[Year],0),MATCH(Table2B.4_AQ_Dollars[[#Headers],[PM10]],TableA6_Emissions[#Headers],0)),0)</f>
        <v>0</v>
      </c>
      <c r="H171" s="162">
        <f>IFERROR(H130*INDEX(TableA6_Emissions[#All],MATCH(Table2B.4_AQ_Dollars[[#This Row],[Year]],TableA6_Emissions[Year],0),MATCH(Table2B.4_AQ_Dollars[[#Headers],[VOC]],TableA6_Emissions[#Headers],0)),0)</f>
        <v>0</v>
      </c>
      <c r="I171" s="162">
        <f>SUM(Table2B.4_AQ_Dollars[[#This Row],[NOX]:[VOC]])</f>
        <v>417385.64153458673</v>
      </c>
    </row>
    <row r="172" spans="2:9">
      <c r="B172" s="134">
        <f>First_Year+'Appendix B. Project Information'!B52</f>
        <v>2055</v>
      </c>
      <c r="C172" s="162">
        <f>IFERROR(IF(Table2B.4_AQ_Dollars[[#This Row],[Year]]&gt;Closeout,(C131*INDEX(TableA6_Emissions[#All],MATCH(Table2B.4_AQ_Dollars[[#This Row],[Year]],TableA6_Emissions[Year],0),MATCH(Table2B.4_AQ_Dollars[[#Headers],[NOX]],TableA6_Emissions[#Headers],0))),0),0)</f>
        <v>34535.511662295889</v>
      </c>
      <c r="D172" s="162">
        <f>IFERROR(IF(Table2B.4_AQ_Dollars[[#This Row],[Year]]&gt;Closeout,(D131*INDEX(TableA6_Emissions[#All],MATCH(Table2B.4_AQ_Dollars[[#This Row],[Year]],TableA6_Emissions[Year],0),MATCH(Table2B.4_AQ_Dollars[[#Headers],[SOx]],TableA6_Emissions[#Headers],0))),0),0)</f>
        <v>381.79415934942176</v>
      </c>
      <c r="E172" s="162">
        <f>IFERROR(IF(Table2B.4_AQ_Dollars[[#This Row],[Year]]&gt;Closeout,(E131*INDEX(TableA6_Emissions[#All],MATCH(Table2B.4_AQ_Dollars[[#This Row],[Year]],TableA6_Emissions[Year],0),MATCH(Table2B.4_AQ_Dollars[[#Headers],[PM2.5]],TableA6_Emissions[#Headers],0))),0),0)</f>
        <v>289177.21045803092</v>
      </c>
      <c r="F172" s="162">
        <f>IFERROR(IF(Table2B.4_AQ_Dollars[[#This Row],[Year]]&gt;Closeout,F131*INDEX(TableA6_Emissions[#All],MATCH(Table2B.4_AQ_Dollars[[#This Row],[Year]],TableA6_Emissions[Year],0),MATCH(Table2B.4_AQ_Dollars[[#Headers],[CO2]],TableA6_Emissions[#Headers],0)),0),0)</f>
        <v>108340.47199249966</v>
      </c>
      <c r="G172" s="162">
        <f>IFERROR(G131*INDEX(TableA6_Emissions[#All],MATCH(Table2B.4_AQ_Dollars[[#This Row],[Year]],TableA6_Emissions[Year],0),MATCH(Table2B.4_AQ_Dollars[[#Headers],[PM10]],TableA6_Emissions[#Headers],0)),0)</f>
        <v>0</v>
      </c>
      <c r="H172" s="162">
        <f>IFERROR(H131*INDEX(TableA6_Emissions[#All],MATCH(Table2B.4_AQ_Dollars[[#This Row],[Year]],TableA6_Emissions[Year],0),MATCH(Table2B.4_AQ_Dollars[[#Headers],[VOC]],TableA6_Emissions[#Headers],0)),0)</f>
        <v>0</v>
      </c>
      <c r="I172" s="162">
        <f>SUM(Table2B.4_AQ_Dollars[[#This Row],[NOX]:[VOC]])</f>
        <v>432434.98827217589</v>
      </c>
    </row>
    <row r="173" spans="2:9">
      <c r="B173" s="134">
        <f>First_Year+'Appendix B. Project Information'!B53</f>
        <v>2056</v>
      </c>
      <c r="C173" s="162">
        <f>IFERROR(IF(Table2B.4_AQ_Dollars[[#This Row],[Year]]&gt;Closeout,(C132*INDEX(TableA6_Emissions[#All],MATCH(Table2B.4_AQ_Dollars[[#This Row],[Year]],TableA6_Emissions[Year],0),MATCH(Table2B.4_AQ_Dollars[[#Headers],[NOX]],TableA6_Emissions[#Headers],0))),0),0)</f>
        <v>35705.667279174231</v>
      </c>
      <c r="D173" s="162">
        <f>IFERROR(IF(Table2B.4_AQ_Dollars[[#This Row],[Year]]&gt;Closeout,(D132*INDEX(TableA6_Emissions[#All],MATCH(Table2B.4_AQ_Dollars[[#This Row],[Year]],TableA6_Emissions[Year],0),MATCH(Table2B.4_AQ_Dollars[[#Headers],[SOx]],TableA6_Emissions[#Headers],0))),0),0)</f>
        <v>394.77596373725623</v>
      </c>
      <c r="E173" s="162">
        <f>IFERROR(IF(Table2B.4_AQ_Dollars[[#This Row],[Year]]&gt;Closeout,(E132*INDEX(TableA6_Emissions[#All],MATCH(Table2B.4_AQ_Dollars[[#This Row],[Year]],TableA6_Emissions[Year],0),MATCH(Table2B.4_AQ_Dollars[[#Headers],[PM2.5]],TableA6_Emissions[#Headers],0))),0),0)</f>
        <v>299359.28937895165</v>
      </c>
      <c r="F173" s="162">
        <f>IFERROR(IF(Table2B.4_AQ_Dollars[[#This Row],[Year]]&gt;Closeout,F132*INDEX(TableA6_Emissions[#All],MATCH(Table2B.4_AQ_Dollars[[#This Row],[Year]],TableA6_Emissions[Year],0),MATCH(Table2B.4_AQ_Dollars[[#Headers],[CO2]],TableA6_Emissions[#Headers],0)),0),0)</f>
        <v>112024.60238790198</v>
      </c>
      <c r="G173" s="162">
        <f>IFERROR(G132*INDEX(TableA6_Emissions[#All],MATCH(Table2B.4_AQ_Dollars[[#This Row],[Year]],TableA6_Emissions[Year],0),MATCH(Table2B.4_AQ_Dollars[[#Headers],[PM10]],TableA6_Emissions[#Headers],0)),0)</f>
        <v>0</v>
      </c>
      <c r="H173" s="162">
        <f>IFERROR(H132*INDEX(TableA6_Emissions[#All],MATCH(Table2B.4_AQ_Dollars[[#This Row],[Year]],TableA6_Emissions[Year],0),MATCH(Table2B.4_AQ_Dollars[[#Headers],[VOC]],TableA6_Emissions[#Headers],0)),0)</f>
        <v>0</v>
      </c>
      <c r="I173" s="162">
        <f>SUM(Table2B.4_AQ_Dollars[[#This Row],[NOX]:[VOC]])</f>
        <v>447484.33500976511</v>
      </c>
    </row>
    <row r="174" spans="2:9">
      <c r="B174" s="134">
        <f>First_Year+'Appendix B. Project Information'!B54</f>
        <v>2057</v>
      </c>
      <c r="C174" s="162">
        <f>IFERROR(IF(Table2B.4_AQ_Dollars[[#This Row],[Year]]&gt;Closeout,(C133*INDEX(TableA6_Emissions[#All],MATCH(Table2B.4_AQ_Dollars[[#This Row],[Year]],TableA6_Emissions[Year],0),MATCH(Table2B.4_AQ_Dollars[[#Headers],[NOX]],TableA6_Emissions[#Headers],0))),0),0)</f>
        <v>36875.822896052581</v>
      </c>
      <c r="D174" s="162">
        <f>IFERROR(IF(Table2B.4_AQ_Dollars[[#This Row],[Year]]&gt;Closeout,(D133*INDEX(TableA6_Emissions[#All],MATCH(Table2B.4_AQ_Dollars[[#This Row],[Year]],TableA6_Emissions[Year],0),MATCH(Table2B.4_AQ_Dollars[[#Headers],[SOx]],TableA6_Emissions[#Headers],0))),0),0)</f>
        <v>407.75776812509065</v>
      </c>
      <c r="E174" s="162">
        <f>IFERROR(IF(Table2B.4_AQ_Dollars[[#This Row],[Year]]&gt;Closeout,(E133*INDEX(TableA6_Emissions[#All],MATCH(Table2B.4_AQ_Dollars[[#This Row],[Year]],TableA6_Emissions[Year],0),MATCH(Table2B.4_AQ_Dollars[[#Headers],[PM2.5]],TableA6_Emissions[#Headers],0))),0),0)</f>
        <v>309541.36829987238</v>
      </c>
      <c r="F174" s="162">
        <f>IFERROR(IF(Table2B.4_AQ_Dollars[[#This Row],[Year]]&gt;Closeout,F133*INDEX(TableA6_Emissions[#All],MATCH(Table2B.4_AQ_Dollars[[#This Row],[Year]],TableA6_Emissions[Year],0),MATCH(Table2B.4_AQ_Dollars[[#Headers],[CO2]],TableA6_Emissions[#Headers],0)),0),0)</f>
        <v>115708.73278330429</v>
      </c>
      <c r="G174" s="162">
        <f>IFERROR(G133*INDEX(TableA6_Emissions[#All],MATCH(Table2B.4_AQ_Dollars[[#This Row],[Year]],TableA6_Emissions[Year],0),MATCH(Table2B.4_AQ_Dollars[[#Headers],[PM10]],TableA6_Emissions[#Headers],0)),0)</f>
        <v>0</v>
      </c>
      <c r="H174" s="162">
        <f>IFERROR(H133*INDEX(TableA6_Emissions[#All],MATCH(Table2B.4_AQ_Dollars[[#This Row],[Year]],TableA6_Emissions[Year],0),MATCH(Table2B.4_AQ_Dollars[[#Headers],[VOC]],TableA6_Emissions[#Headers],0)),0)</f>
        <v>0</v>
      </c>
      <c r="I174" s="162">
        <f>SUM(Table2B.4_AQ_Dollars[[#This Row],[NOX]:[VOC]])</f>
        <v>462533.68174735433</v>
      </c>
    </row>
    <row r="175" spans="2:9">
      <c r="B175" s="134">
        <f>First_Year+'Appendix B. Project Information'!B55</f>
        <v>2058</v>
      </c>
      <c r="C175" s="162">
        <f>IFERROR(IF(Table2B.4_AQ_Dollars[[#This Row],[Year]]&gt;Closeout,(C134*INDEX(TableA6_Emissions[#All],MATCH(Table2B.4_AQ_Dollars[[#This Row],[Year]],TableA6_Emissions[Year],0),MATCH(Table2B.4_AQ_Dollars[[#Headers],[NOX]],TableA6_Emissions[#Headers],0))),0),0)</f>
        <v>38045.978512929178</v>
      </c>
      <c r="D175" s="162">
        <f>IFERROR(IF(Table2B.4_AQ_Dollars[[#This Row],[Year]]&gt;Closeout,(D134*INDEX(TableA6_Emissions[#All],MATCH(Table2B.4_AQ_Dollars[[#This Row],[Year]],TableA6_Emissions[Year],0),MATCH(Table2B.4_AQ_Dollars[[#Headers],[SOx]],TableA6_Emissions[#Headers],0))),0),0)</f>
        <v>420.73957251295928</v>
      </c>
      <c r="E175" s="162">
        <f>IFERROR(IF(Table2B.4_AQ_Dollars[[#This Row],[Year]]&gt;Closeout,(E134*INDEX(TableA6_Emissions[#All],MATCH(Table2B.4_AQ_Dollars[[#This Row],[Year]],TableA6_Emissions[Year],0),MATCH(Table2B.4_AQ_Dollars[[#Headers],[PM2.5]],TableA6_Emissions[#Headers],0))),0),0)</f>
        <v>319723.4472207959</v>
      </c>
      <c r="F175" s="162">
        <f>IFERROR(IF(Table2B.4_AQ_Dollars[[#This Row],[Year]]&gt;Closeout,F134*INDEX(TableA6_Emissions[#All],MATCH(Table2B.4_AQ_Dollars[[#This Row],[Year]],TableA6_Emissions[Year],0),MATCH(Table2B.4_AQ_Dollars[[#Headers],[CO2]],TableA6_Emissions[#Headers],0)),0),0)</f>
        <v>119392.86317871558</v>
      </c>
      <c r="G175" s="162">
        <f>IFERROR(G134*INDEX(TableA6_Emissions[#All],MATCH(Table2B.4_AQ_Dollars[[#This Row],[Year]],TableA6_Emissions[Year],0),MATCH(Table2B.4_AQ_Dollars[[#Headers],[PM10]],TableA6_Emissions[#Headers],0)),0)</f>
        <v>0</v>
      </c>
      <c r="H175" s="162">
        <f>IFERROR(H134*INDEX(TableA6_Emissions[#All],MATCH(Table2B.4_AQ_Dollars[[#This Row],[Year]],TableA6_Emissions[Year],0),MATCH(Table2B.4_AQ_Dollars[[#Headers],[VOC]],TableA6_Emissions[#Headers],0)),0)</f>
        <v>0</v>
      </c>
      <c r="I175" s="162">
        <f>SUM(Table2B.4_AQ_Dollars[[#This Row],[NOX]:[VOC]])</f>
        <v>477583.02848495363</v>
      </c>
    </row>
    <row r="176" spans="2:9">
      <c r="B176" s="134" t="s">
        <v>28</v>
      </c>
      <c r="C176" s="204">
        <f>SUBTOTAL(109,Table2B.4_AQ_Dollars[NOX])</f>
        <v>634911.23542196443</v>
      </c>
      <c r="D176" s="204">
        <f>SUBTOTAL(109,Table2B.4_AQ_Dollars[SOx])</f>
        <v>7002.2444847029365</v>
      </c>
      <c r="E176" s="204">
        <f>SUBTOTAL(109,Table2B.4_AQ_Dollars[PM2.5])</f>
        <v>5174799.0144655211</v>
      </c>
      <c r="F176" s="204">
        <f>SUBTOTAL(109,Table2B.4_AQ_Dollars[CO2])</f>
        <v>1858370.209428394</v>
      </c>
      <c r="G176" s="204">
        <f>SUBTOTAL(109,Table2B.4_AQ_Dollars[PM10])</f>
        <v>0</v>
      </c>
      <c r="H176" s="204">
        <f>SUBTOTAL(109,Table2B.4_AQ_Dollars[VOC])</f>
        <v>0</v>
      </c>
      <c r="I176" s="205">
        <f>SUBTOTAL(109,Table2B.4_AQ_Dollars[Total])</f>
        <v>7675082.7038005823</v>
      </c>
    </row>
    <row r="179" spans="2:9" hidden="1">
      <c r="B179" s="63" t="s">
        <v>145</v>
      </c>
      <c r="C179" s="130"/>
      <c r="D179" s="130"/>
      <c r="E179" s="131"/>
      <c r="F179" s="130"/>
      <c r="G179" s="130"/>
      <c r="H179" s="130"/>
    </row>
    <row r="180" spans="2:9" hidden="1">
      <c r="B180" s="130"/>
      <c r="C180" s="130"/>
      <c r="D180" s="130"/>
      <c r="E180" s="131"/>
      <c r="F180" s="130"/>
      <c r="G180" s="130"/>
      <c r="H180" s="130"/>
    </row>
    <row r="181" spans="2:9" hidden="1">
      <c r="B181" s="133" t="s">
        <v>21</v>
      </c>
      <c r="C181" s="145" t="s">
        <v>130</v>
      </c>
      <c r="D181" s="145" t="s">
        <v>122</v>
      </c>
      <c r="E181" s="145" t="s">
        <v>131</v>
      </c>
      <c r="F181" s="145" t="s">
        <v>132</v>
      </c>
      <c r="G181" s="145" t="s">
        <v>133</v>
      </c>
      <c r="H181" s="145" t="s">
        <v>126</v>
      </c>
      <c r="I181" s="145" t="s">
        <v>28</v>
      </c>
    </row>
    <row r="182" spans="2:9" hidden="1">
      <c r="B182" s="134">
        <f>First_Year+'Appendix B. Project Information'!B20</f>
        <v>2023</v>
      </c>
      <c r="C182" s="135"/>
      <c r="D182" s="135"/>
      <c r="E182" s="135"/>
      <c r="F182" s="135"/>
      <c r="G182" s="135"/>
      <c r="H182" s="135"/>
      <c r="I182" s="146">
        <f>IF(Table25[[#This Row],[Year]]&gt;Closeout,SUM(C182:H182),0)</f>
        <v>0</v>
      </c>
    </row>
    <row r="183" spans="2:9" hidden="1">
      <c r="B183" s="134">
        <f>First_Year+'Appendix B. Project Information'!B21</f>
        <v>2024</v>
      </c>
      <c r="C183" s="135"/>
      <c r="D183" s="135"/>
      <c r="E183" s="135"/>
      <c r="F183" s="135"/>
      <c r="G183" s="135"/>
      <c r="H183" s="135"/>
      <c r="I183" s="146">
        <f>IF(Table25[[#This Row],[Year]]&gt;Closeout,SUM(C183:H183),0)</f>
        <v>0</v>
      </c>
    </row>
    <row r="184" spans="2:9" hidden="1">
      <c r="B184" s="134">
        <f>First_Year+'Appendix B. Project Information'!B22</f>
        <v>2025</v>
      </c>
      <c r="C184" s="135"/>
      <c r="D184" s="135"/>
      <c r="E184" s="135"/>
      <c r="F184" s="135"/>
      <c r="G184" s="135"/>
      <c r="H184" s="135"/>
      <c r="I184" s="146">
        <f>IF(Table25[[#This Row],[Year]]&gt;Closeout,SUM(C184:H184),0)</f>
        <v>0</v>
      </c>
    </row>
    <row r="185" spans="2:9" hidden="1">
      <c r="B185" s="134">
        <f>First_Year+'Appendix B. Project Information'!B23</f>
        <v>2026</v>
      </c>
      <c r="C185" s="135"/>
      <c r="D185" s="135"/>
      <c r="E185" s="135"/>
      <c r="F185" s="135"/>
      <c r="G185" s="135"/>
      <c r="H185" s="135"/>
      <c r="I185" s="146">
        <f>IF(Table25[[#This Row],[Year]]&gt;Closeout,SUM(C185:H185),0)</f>
        <v>0</v>
      </c>
    </row>
    <row r="186" spans="2:9" hidden="1">
      <c r="B186" s="134">
        <f>First_Year+'Appendix B. Project Information'!B24</f>
        <v>2027</v>
      </c>
      <c r="C186" s="135"/>
      <c r="D186" s="135"/>
      <c r="E186" s="135"/>
      <c r="F186" s="135"/>
      <c r="G186" s="135"/>
      <c r="H186" s="135"/>
      <c r="I186" s="146">
        <f>IF(Table25[[#This Row],[Year]]&gt;Closeout,SUM(C186:H186),0)</f>
        <v>0</v>
      </c>
    </row>
    <row r="187" spans="2:9" hidden="1">
      <c r="B187" s="134">
        <f>First_Year+'Appendix B. Project Information'!B25</f>
        <v>2028</v>
      </c>
      <c r="C187" s="135">
        <f>'MM_2. Emissions Benefits'!C29</f>
        <v>2785.6851385047548</v>
      </c>
      <c r="D187" s="135">
        <f>'MM_2. Emissions Benefits'!D29</f>
        <v>29.699823991292817</v>
      </c>
      <c r="E187" s="135">
        <f>'MM_2. Emissions Benefits'!E29</f>
        <v>13601.135407502543</v>
      </c>
      <c r="F187" s="135">
        <f>'MM_2. Emissions Benefits'!F29</f>
        <v>6147.7957990325376</v>
      </c>
      <c r="G187" s="135">
        <f>'MM_2. Emissions Benefits'!G29</f>
        <v>0</v>
      </c>
      <c r="H187" s="135">
        <f>'MM_2. Emissions Benefits'!H29</f>
        <v>0</v>
      </c>
      <c r="I187" s="146">
        <f>IF(Table25[[#This Row],[Year]]&gt;Closeout,SUM(C187:H187),0)</f>
        <v>22564.316169031128</v>
      </c>
    </row>
    <row r="188" spans="2:9" hidden="1">
      <c r="B188" s="134">
        <f>First_Year+'Appendix B. Project Information'!B26</f>
        <v>2029</v>
      </c>
      <c r="C188" s="136">
        <f>'MM_2. Emissions Benefits'!C30</f>
        <v>3959.1891188836753</v>
      </c>
      <c r="D188" s="135">
        <f>'MM_2. Emissions Benefits'!D30</f>
        <v>42.714008589735677</v>
      </c>
      <c r="E188" s="135">
        <f>'MM_2. Emissions Benefits'!E30</f>
        <v>23683.686202393958</v>
      </c>
      <c r="F188" s="136">
        <f>'MM_2. Emissions Benefits'!F30</f>
        <v>8844.2166607550462</v>
      </c>
      <c r="G188" s="136">
        <f>'MM_2. Emissions Benefits'!G30</f>
        <v>0</v>
      </c>
      <c r="H188" s="136">
        <f>'MM_2. Emissions Benefits'!H30</f>
        <v>0</v>
      </c>
      <c r="I188" s="146">
        <f>IF(Table25[[#This Row],[Year]]&gt;Closeout,SUM(C188:H188),0)</f>
        <v>36529.805990622415</v>
      </c>
    </row>
    <row r="189" spans="2:9" hidden="1">
      <c r="B189" s="134">
        <f>First_Year+'Appendix B. Project Information'!B27</f>
        <v>2030</v>
      </c>
      <c r="C189" s="136">
        <f>'MM_2. Emissions Benefits'!C31</f>
        <v>5197.7859825515143</v>
      </c>
      <c r="D189" s="135">
        <f>'MM_2. Emissions Benefits'!D31</f>
        <v>56.244680361392781</v>
      </c>
      <c r="E189" s="135">
        <f>'MM_2. Emissions Benefits'!E31</f>
        <v>34083.502781446252</v>
      </c>
      <c r="F189" s="136">
        <f>'MM_2. Emissions Benefits'!F31</f>
        <v>11624.367758736698</v>
      </c>
      <c r="G189" s="136">
        <f>'MM_2. Emissions Benefits'!G31</f>
        <v>0</v>
      </c>
      <c r="H189" s="136">
        <f>'MM_2. Emissions Benefits'!H31</f>
        <v>0</v>
      </c>
      <c r="I189" s="146">
        <f>IF(Table25[[#This Row],[Year]]&gt;Closeout,SUM(C189:H189),0)</f>
        <v>50961.901203095855</v>
      </c>
    </row>
    <row r="190" spans="2:9" hidden="1">
      <c r="B190" s="134">
        <f>First_Year+'Appendix B. Project Information'!B28</f>
        <v>2031</v>
      </c>
      <c r="C190" s="136">
        <f>'MM_2. Emissions Benefits'!C32</f>
        <v>6451.7768572130808</v>
      </c>
      <c r="D190" s="135">
        <f>'MM_2. Emissions Benefits'!D32</f>
        <v>70.230854041394963</v>
      </c>
      <c r="E190" s="135">
        <f>'MM_2. Emissions Benefits'!E32</f>
        <v>44807.316355933719</v>
      </c>
      <c r="F190" s="136">
        <f>'MM_2. Emissions Benefits'!F32</f>
        <v>14714.627985055267</v>
      </c>
      <c r="G190" s="136">
        <f>'MM_2. Emissions Benefits'!G32</f>
        <v>0</v>
      </c>
      <c r="H190" s="136">
        <f>'MM_2. Emissions Benefits'!H32</f>
        <v>0</v>
      </c>
      <c r="I190" s="146">
        <f>IF(Table25[[#This Row],[Year]]&gt;Closeout,SUM(C190:H190),0)</f>
        <v>66043.952052243461</v>
      </c>
    </row>
    <row r="191" spans="2:9" hidden="1">
      <c r="B191" s="134">
        <f>First_Year+'Appendix B. Project Information'!B29</f>
        <v>2032</v>
      </c>
      <c r="C191" s="136">
        <f>'MM_2. Emissions Benefits'!C33</f>
        <v>7621.9324740915599</v>
      </c>
      <c r="D191" s="135">
        <f>'MM_2. Emissions Benefits'!D33</f>
        <v>83.212658429229407</v>
      </c>
      <c r="E191" s="135">
        <f>'MM_2. Emissions Benefits'!E33</f>
        <v>54989.39527685444</v>
      </c>
      <c r="F191" s="136">
        <f>'MM_2. Emissions Benefits'!F33</f>
        <v>17704.104673684778</v>
      </c>
      <c r="G191" s="136">
        <f>'MM_2. Emissions Benefits'!G33</f>
        <v>0</v>
      </c>
      <c r="H191" s="136">
        <f>'MM_2. Emissions Benefits'!H33</f>
        <v>0</v>
      </c>
      <c r="I191" s="146">
        <f>IF(Table25[[#This Row],[Year]]&gt;Closeout,SUM(C191:H191),0)</f>
        <v>80398.645083060008</v>
      </c>
    </row>
    <row r="192" spans="2:9" hidden="1">
      <c r="B192" s="134">
        <f>First_Year+'Appendix B. Project Information'!B30</f>
        <v>2033</v>
      </c>
      <c r="C192" s="136">
        <f t="shared" ref="C192:D193" si="50">(C$217-C$191)/26+C191</f>
        <v>8792.0880909699299</v>
      </c>
      <c r="D192" s="135">
        <f t="shared" si="50"/>
        <v>96.194462817065173</v>
      </c>
      <c r="E192" s="135">
        <f>IFERROR((E$217-E$191)/26+E191,0)</f>
        <v>65171.474197775264</v>
      </c>
      <c r="F192" s="135">
        <f>IFERROR((F$217-F$191)/26+F191,0)</f>
        <v>21615.210770032118</v>
      </c>
      <c r="G192" s="135">
        <f t="shared" ref="G192:H207" si="51">(G$217-G$191)/26+G191</f>
        <v>0</v>
      </c>
      <c r="H192" s="135">
        <f t="shared" si="51"/>
        <v>0</v>
      </c>
      <c r="I192" s="146">
        <f>IF(Table25[[#This Row],[Year]]&gt;Closeout,SUM(C192:H192),0)</f>
        <v>95674.967521594386</v>
      </c>
    </row>
    <row r="193" spans="2:9" hidden="1">
      <c r="B193" s="134">
        <f>First_Year+'Appendix B. Project Information'!B31</f>
        <v>2034</v>
      </c>
      <c r="C193" s="136">
        <f t="shared" si="50"/>
        <v>9962.2437078482999</v>
      </c>
      <c r="D193" s="135">
        <f t="shared" si="50"/>
        <v>109.17626720490094</v>
      </c>
      <c r="E193" s="135">
        <f t="shared" ref="E193:E216" si="52">IFERROR((E$217-E$191)/26+E192,0)</f>
        <v>75353.553118696087</v>
      </c>
      <c r="F193" s="135">
        <f t="shared" ref="F193:F216" si="53">IFERROR((F$217-F$191)/26+F192,0)</f>
        <v>25526.316866379457</v>
      </c>
      <c r="G193" s="135">
        <f t="shared" si="51"/>
        <v>0</v>
      </c>
      <c r="H193" s="135">
        <f t="shared" si="51"/>
        <v>0</v>
      </c>
      <c r="I193" s="146">
        <f>IF(Table25[[#This Row],[Year]]&gt;Closeout,SUM(C193:H193),0)</f>
        <v>110951.28996012875</v>
      </c>
    </row>
    <row r="194" spans="2:9" hidden="1">
      <c r="B194" s="134">
        <f>First_Year+'Appendix B. Project Information'!B32</f>
        <v>2035</v>
      </c>
      <c r="C194" s="136">
        <f t="shared" ref="C194:C216" si="54">(C$217-C$191)/26+C193</f>
        <v>11132.39932472667</v>
      </c>
      <c r="D194" s="135">
        <f t="shared" ref="D194:D216" si="55">(D$217-D$191)/26+D193</f>
        <v>122.1580715927367</v>
      </c>
      <c r="E194" s="135">
        <f t="shared" si="52"/>
        <v>85535.632039616918</v>
      </c>
      <c r="F194" s="135">
        <f t="shared" si="53"/>
        <v>29437.422962726796</v>
      </c>
      <c r="G194" s="135">
        <f t="shared" si="51"/>
        <v>0</v>
      </c>
      <c r="H194" s="135">
        <f t="shared" si="51"/>
        <v>0</v>
      </c>
      <c r="I194" s="146">
        <f>IF(Table25[[#This Row],[Year]]&gt;Closeout,SUM(C194:H194),0)</f>
        <v>126227.61239866311</v>
      </c>
    </row>
    <row r="195" spans="2:9" hidden="1">
      <c r="B195" s="134">
        <f>First_Year+'Appendix B. Project Information'!B33</f>
        <v>2036</v>
      </c>
      <c r="C195" s="136">
        <f t="shared" si="54"/>
        <v>12302.55494160504</v>
      </c>
      <c r="D195" s="135">
        <f t="shared" si="55"/>
        <v>135.13987598057247</v>
      </c>
      <c r="E195" s="135">
        <f t="shared" si="52"/>
        <v>95717.710960537748</v>
      </c>
      <c r="F195" s="135">
        <f t="shared" si="53"/>
        <v>33348.529059074135</v>
      </c>
      <c r="G195" s="135">
        <f t="shared" si="51"/>
        <v>0</v>
      </c>
      <c r="H195" s="135">
        <f t="shared" si="51"/>
        <v>0</v>
      </c>
      <c r="I195" s="146">
        <f>IF(Table25[[#This Row],[Year]]&gt;Closeout,SUM(C195:H195),0)</f>
        <v>141503.93483719748</v>
      </c>
    </row>
    <row r="196" spans="2:9" hidden="1">
      <c r="B196" s="134">
        <f>First_Year+'Appendix B. Project Information'!B34</f>
        <v>2037</v>
      </c>
      <c r="C196" s="136">
        <f t="shared" si="54"/>
        <v>13472.71055848341</v>
      </c>
      <c r="D196" s="135">
        <f t="shared" si="55"/>
        <v>148.12168036840822</v>
      </c>
      <c r="E196" s="135">
        <f t="shared" si="52"/>
        <v>105899.78988145858</v>
      </c>
      <c r="F196" s="135">
        <f t="shared" si="53"/>
        <v>37259.635155421471</v>
      </c>
      <c r="G196" s="135">
        <f t="shared" si="51"/>
        <v>0</v>
      </c>
      <c r="H196" s="135">
        <f t="shared" si="51"/>
        <v>0</v>
      </c>
      <c r="I196" s="146">
        <f>IF(Table25[[#This Row],[Year]]&gt;Closeout,SUM(C196:H196),0)</f>
        <v>156780.25727573186</v>
      </c>
    </row>
    <row r="197" spans="2:9" hidden="1">
      <c r="B197" s="134">
        <f>First_Year+'Appendix B. Project Information'!B35</f>
        <v>2038</v>
      </c>
      <c r="C197" s="136">
        <f t="shared" si="54"/>
        <v>14642.86617536178</v>
      </c>
      <c r="D197" s="135">
        <f t="shared" si="55"/>
        <v>161.10348475624397</v>
      </c>
      <c r="E197" s="135">
        <f t="shared" si="52"/>
        <v>116081.86880237941</v>
      </c>
      <c r="F197" s="135">
        <f t="shared" si="53"/>
        <v>41170.741251768806</v>
      </c>
      <c r="G197" s="135">
        <f t="shared" si="51"/>
        <v>0</v>
      </c>
      <c r="H197" s="135">
        <f t="shared" si="51"/>
        <v>0</v>
      </c>
      <c r="I197" s="146">
        <f>IF(Table25[[#This Row],[Year]]&gt;Closeout,SUM(C197:H197),0)</f>
        <v>172056.57971426623</v>
      </c>
    </row>
    <row r="198" spans="2:9" hidden="1">
      <c r="B198" s="134">
        <f>First_Year+'Appendix B. Project Information'!B36</f>
        <v>2039</v>
      </c>
      <c r="C198" s="136">
        <f t="shared" si="54"/>
        <v>15813.02179224015</v>
      </c>
      <c r="D198" s="135">
        <f t="shared" si="55"/>
        <v>174.08528914407972</v>
      </c>
      <c r="E198" s="135">
        <f t="shared" si="52"/>
        <v>126263.94772330024</v>
      </c>
      <c r="F198" s="135">
        <f t="shared" si="53"/>
        <v>45081.847348116142</v>
      </c>
      <c r="G198" s="135">
        <f t="shared" si="51"/>
        <v>0</v>
      </c>
      <c r="H198" s="135">
        <f t="shared" si="51"/>
        <v>0</v>
      </c>
      <c r="I198" s="146">
        <f>IF(Table25[[#This Row],[Year]]&gt;Closeout,SUM(C198:H198),0)</f>
        <v>187332.90215280061</v>
      </c>
    </row>
    <row r="199" spans="2:9" hidden="1">
      <c r="B199" s="134">
        <f>First_Year+'Appendix B. Project Information'!B37</f>
        <v>2040</v>
      </c>
      <c r="C199" s="136">
        <f t="shared" si="54"/>
        <v>16983.177409118518</v>
      </c>
      <c r="D199" s="135">
        <f t="shared" si="55"/>
        <v>187.06709353191548</v>
      </c>
      <c r="E199" s="135">
        <f t="shared" si="52"/>
        <v>136446.02664422107</v>
      </c>
      <c r="F199" s="135">
        <f t="shared" si="53"/>
        <v>48992.953444463477</v>
      </c>
      <c r="G199" s="135">
        <f t="shared" si="51"/>
        <v>0</v>
      </c>
      <c r="H199" s="135">
        <f t="shared" si="51"/>
        <v>0</v>
      </c>
      <c r="I199" s="146">
        <f>IF(Table25[[#This Row],[Year]]&gt;Closeout,SUM(C199:H199),0)</f>
        <v>202609.22459133499</v>
      </c>
    </row>
    <row r="200" spans="2:9" hidden="1">
      <c r="B200" s="134">
        <f>First_Year+'Appendix B. Project Information'!B38</f>
        <v>2041</v>
      </c>
      <c r="C200" s="136">
        <f t="shared" si="54"/>
        <v>18153.333025996886</v>
      </c>
      <c r="D200" s="135">
        <f t="shared" si="55"/>
        <v>200.04889791975123</v>
      </c>
      <c r="E200" s="135">
        <f t="shared" si="52"/>
        <v>146628.10556514189</v>
      </c>
      <c r="F200" s="135">
        <f t="shared" si="53"/>
        <v>52904.059540810813</v>
      </c>
      <c r="G200" s="135">
        <f t="shared" si="51"/>
        <v>0</v>
      </c>
      <c r="H200" s="135">
        <f t="shared" si="51"/>
        <v>0</v>
      </c>
      <c r="I200" s="146">
        <f>IF(Table25[[#This Row],[Year]]&gt;Closeout,SUM(C200:H200),0)</f>
        <v>217885.54702986934</v>
      </c>
    </row>
    <row r="201" spans="2:9" hidden="1">
      <c r="B201" s="134">
        <f>First_Year+'Appendix B. Project Information'!B39</f>
        <v>2042</v>
      </c>
      <c r="C201" s="136">
        <f t="shared" si="54"/>
        <v>19323.488642875254</v>
      </c>
      <c r="D201" s="135">
        <f t="shared" si="55"/>
        <v>213.03070230758698</v>
      </c>
      <c r="E201" s="135">
        <f t="shared" si="52"/>
        <v>156810.1844860627</v>
      </c>
      <c r="F201" s="135">
        <f t="shared" si="53"/>
        <v>56815.165637158148</v>
      </c>
      <c r="G201" s="135">
        <f t="shared" si="51"/>
        <v>0</v>
      </c>
      <c r="H201" s="135">
        <f t="shared" si="51"/>
        <v>0</v>
      </c>
      <c r="I201" s="146">
        <f>IF(Table25[[#This Row],[Year]]&gt;Closeout,SUM(C201:H201),0)</f>
        <v>233161.86946840369</v>
      </c>
    </row>
    <row r="202" spans="2:9" hidden="1">
      <c r="B202" s="134">
        <f>First_Year+'Appendix B. Project Information'!B40</f>
        <v>2043</v>
      </c>
      <c r="C202" s="136">
        <f t="shared" si="54"/>
        <v>20493.644259753622</v>
      </c>
      <c r="D202" s="135">
        <f t="shared" si="55"/>
        <v>226.01250669542273</v>
      </c>
      <c r="E202" s="135">
        <f t="shared" si="52"/>
        <v>166992.26340698352</v>
      </c>
      <c r="F202" s="135">
        <f t="shared" si="53"/>
        <v>60726.271733505484</v>
      </c>
      <c r="G202" s="135">
        <f t="shared" si="51"/>
        <v>0</v>
      </c>
      <c r="H202" s="135">
        <f t="shared" si="51"/>
        <v>0</v>
      </c>
      <c r="I202" s="146">
        <f>IF(Table25[[#This Row],[Year]]&gt;Closeout,SUM(C202:H202),0)</f>
        <v>248438.19190693804</v>
      </c>
    </row>
    <row r="203" spans="2:9" hidden="1">
      <c r="B203" s="134">
        <f>First_Year+'Appendix B. Project Information'!B41</f>
        <v>2044</v>
      </c>
      <c r="C203" s="136">
        <f t="shared" si="54"/>
        <v>21663.799876631991</v>
      </c>
      <c r="D203" s="135">
        <f t="shared" si="55"/>
        <v>238.99431108325848</v>
      </c>
      <c r="E203" s="135">
        <f t="shared" si="52"/>
        <v>177174.34232790433</v>
      </c>
      <c r="F203" s="135">
        <f t="shared" si="53"/>
        <v>64637.37782985282</v>
      </c>
      <c r="G203" s="135">
        <f t="shared" si="51"/>
        <v>0</v>
      </c>
      <c r="H203" s="135">
        <f t="shared" si="51"/>
        <v>0</v>
      </c>
      <c r="I203" s="146">
        <f>IF(Table25[[#This Row],[Year]]&gt;Closeout,SUM(C203:H203),0)</f>
        <v>263714.51434547239</v>
      </c>
    </row>
    <row r="204" spans="2:9" hidden="1">
      <c r="B204" s="134">
        <f>First_Year+'Appendix B. Project Information'!B42</f>
        <v>2045</v>
      </c>
      <c r="C204" s="136">
        <f t="shared" si="54"/>
        <v>22833.955493510359</v>
      </c>
      <c r="D204" s="135">
        <f t="shared" si="55"/>
        <v>251.97611547109423</v>
      </c>
      <c r="E204" s="135">
        <f t="shared" si="52"/>
        <v>187356.42124882515</v>
      </c>
      <c r="F204" s="135">
        <f t="shared" si="53"/>
        <v>68548.483926200162</v>
      </c>
      <c r="G204" s="135">
        <f t="shared" si="51"/>
        <v>0</v>
      </c>
      <c r="H204" s="135">
        <f t="shared" si="51"/>
        <v>0</v>
      </c>
      <c r="I204" s="146">
        <f>IF(Table25[[#This Row],[Year]]&gt;Closeout,SUM(C204:H204),0)</f>
        <v>278990.83678400679</v>
      </c>
    </row>
    <row r="205" spans="2:9" hidden="1">
      <c r="B205" s="134">
        <f>First_Year+'Appendix B. Project Information'!B43</f>
        <v>2046</v>
      </c>
      <c r="C205" s="136">
        <f t="shared" si="54"/>
        <v>24004.111110388727</v>
      </c>
      <c r="D205" s="135">
        <f t="shared" si="55"/>
        <v>264.95791985892998</v>
      </c>
      <c r="E205" s="135">
        <f t="shared" si="52"/>
        <v>197538.50016974597</v>
      </c>
      <c r="F205" s="135">
        <f t="shared" si="53"/>
        <v>72459.590022547505</v>
      </c>
      <c r="G205" s="135">
        <f t="shared" si="51"/>
        <v>0</v>
      </c>
      <c r="H205" s="135">
        <f t="shared" si="51"/>
        <v>0</v>
      </c>
      <c r="I205" s="146">
        <f>IF(Table25[[#This Row],[Year]]&gt;Closeout,SUM(C205:H205),0)</f>
        <v>294267.15922254114</v>
      </c>
    </row>
    <row r="206" spans="2:9" hidden="1">
      <c r="B206" s="134">
        <f>First_Year+'Appendix B. Project Information'!B44</f>
        <v>2047</v>
      </c>
      <c r="C206" s="136">
        <f t="shared" si="54"/>
        <v>25174.266727267095</v>
      </c>
      <c r="D206" s="135">
        <f t="shared" si="55"/>
        <v>277.93972424676576</v>
      </c>
      <c r="E206" s="135">
        <f t="shared" si="52"/>
        <v>207720.57909066678</v>
      </c>
      <c r="F206" s="135">
        <f t="shared" si="53"/>
        <v>76370.696118894848</v>
      </c>
      <c r="G206" s="135">
        <f t="shared" si="51"/>
        <v>0</v>
      </c>
      <c r="H206" s="135">
        <f t="shared" si="51"/>
        <v>0</v>
      </c>
      <c r="I206" s="146">
        <f>IF(Table25[[#This Row],[Year]]&gt;Closeout,SUM(C206:H206),0)</f>
        <v>309543.48166107549</v>
      </c>
    </row>
    <row r="207" spans="2:9" hidden="1">
      <c r="B207" s="134">
        <f>First_Year+'Appendix B. Project Information'!B45</f>
        <v>2048</v>
      </c>
      <c r="C207" s="136">
        <f t="shared" si="54"/>
        <v>26344.422344145463</v>
      </c>
      <c r="D207" s="135">
        <f t="shared" si="55"/>
        <v>290.92152863460154</v>
      </c>
      <c r="E207" s="135">
        <f t="shared" si="52"/>
        <v>217902.6580115876</v>
      </c>
      <c r="F207" s="135">
        <f t="shared" si="53"/>
        <v>80281.802215242191</v>
      </c>
      <c r="G207" s="135">
        <f t="shared" si="51"/>
        <v>0</v>
      </c>
      <c r="H207" s="135">
        <f t="shared" si="51"/>
        <v>0</v>
      </c>
      <c r="I207" s="146">
        <f>IF(Table25[[#This Row],[Year]]&gt;Closeout,SUM(C207:H207),0)</f>
        <v>324819.80409960984</v>
      </c>
    </row>
    <row r="208" spans="2:9" hidden="1">
      <c r="B208" s="134">
        <f>First_Year+'Appendix B. Project Information'!B46</f>
        <v>2049</v>
      </c>
      <c r="C208" s="136">
        <f t="shared" si="54"/>
        <v>27514.577961023831</v>
      </c>
      <c r="D208" s="135">
        <f t="shared" si="55"/>
        <v>303.90333302243732</v>
      </c>
      <c r="E208" s="135">
        <f t="shared" si="52"/>
        <v>228084.73693250841</v>
      </c>
      <c r="F208" s="135">
        <f t="shared" si="53"/>
        <v>84192.908311589534</v>
      </c>
      <c r="G208" s="135">
        <f t="shared" ref="G208:G216" si="56">(G$217-G$191)/26+G207</f>
        <v>0</v>
      </c>
      <c r="H208" s="135">
        <f t="shared" ref="H208:H216" si="57">(H$217-H$191)/26+H207</f>
        <v>0</v>
      </c>
      <c r="I208" s="146">
        <f>IF(Table25[[#This Row],[Year]]&gt;Closeout,SUM(C208:H208),0)</f>
        <v>340096.12653814419</v>
      </c>
    </row>
    <row r="209" spans="2:9" hidden="1">
      <c r="B209" s="134">
        <f>First_Year+'Appendix B. Project Information'!B47</f>
        <v>2050</v>
      </c>
      <c r="C209" s="136">
        <f t="shared" si="54"/>
        <v>28684.7335779022</v>
      </c>
      <c r="D209" s="135">
        <f t="shared" si="55"/>
        <v>316.8851374102731</v>
      </c>
      <c r="E209" s="135">
        <f t="shared" si="52"/>
        <v>238266.81585342923</v>
      </c>
      <c r="F209" s="135">
        <f t="shared" si="53"/>
        <v>88104.014407936877</v>
      </c>
      <c r="G209" s="135">
        <f t="shared" si="56"/>
        <v>0</v>
      </c>
      <c r="H209" s="135">
        <f t="shared" si="57"/>
        <v>0</v>
      </c>
      <c r="I209" s="146">
        <f>IF(Table25[[#This Row],[Year]]&gt;Closeout,SUM(C209:H209),0)</f>
        <v>355372.4489766786</v>
      </c>
    </row>
    <row r="210" spans="2:9" hidden="1">
      <c r="B210" s="134">
        <f>First_Year+'Appendix B. Project Information'!B48</f>
        <v>2051</v>
      </c>
      <c r="C210" s="136">
        <f t="shared" si="54"/>
        <v>29854.889194780568</v>
      </c>
      <c r="D210" s="135">
        <f t="shared" si="55"/>
        <v>329.86694179810888</v>
      </c>
      <c r="E210" s="135">
        <f t="shared" si="52"/>
        <v>248448.89477435005</v>
      </c>
      <c r="F210" s="135">
        <f t="shared" si="53"/>
        <v>92015.120504284219</v>
      </c>
      <c r="G210" s="135">
        <f t="shared" si="56"/>
        <v>0</v>
      </c>
      <c r="H210" s="135">
        <f t="shared" si="57"/>
        <v>0</v>
      </c>
      <c r="I210" s="146">
        <f>IF(Table25[[#This Row],[Year]]&gt;Closeout,SUM(C210:H210),0)</f>
        <v>370648.77141521295</v>
      </c>
    </row>
    <row r="211" spans="2:9" hidden="1">
      <c r="B211" s="134">
        <f>First_Year+'Appendix B. Project Information'!B49</f>
        <v>2052</v>
      </c>
      <c r="C211" s="136">
        <f t="shared" si="54"/>
        <v>31025.044811658936</v>
      </c>
      <c r="D211" s="135">
        <f t="shared" si="55"/>
        <v>342.84874618594466</v>
      </c>
      <c r="E211" s="135">
        <f t="shared" si="52"/>
        <v>258630.97369527086</v>
      </c>
      <c r="F211" s="135">
        <f t="shared" si="53"/>
        <v>95926.226600631562</v>
      </c>
      <c r="G211" s="135">
        <f t="shared" si="56"/>
        <v>0</v>
      </c>
      <c r="H211" s="135">
        <f t="shared" si="57"/>
        <v>0</v>
      </c>
      <c r="I211" s="146">
        <f>IF(Table25[[#This Row],[Year]]&gt;Closeout,SUM(C211:H211),0)</f>
        <v>385925.0938537473</v>
      </c>
    </row>
    <row r="212" spans="2:9" hidden="1">
      <c r="B212" s="134">
        <f>First_Year+'Appendix B. Project Information'!B50</f>
        <v>2053</v>
      </c>
      <c r="C212" s="136">
        <f t="shared" si="54"/>
        <v>32195.200428537304</v>
      </c>
      <c r="D212" s="135">
        <f t="shared" si="55"/>
        <v>355.83055057378044</v>
      </c>
      <c r="E212" s="135">
        <f t="shared" si="52"/>
        <v>268813.05261619168</v>
      </c>
      <c r="F212" s="135">
        <f t="shared" si="53"/>
        <v>99837.332696978905</v>
      </c>
      <c r="G212" s="135">
        <f t="shared" si="56"/>
        <v>0</v>
      </c>
      <c r="H212" s="135">
        <f t="shared" si="57"/>
        <v>0</v>
      </c>
      <c r="I212" s="146">
        <f>IF(Table25[[#This Row],[Year]]&gt;Closeout,SUM(C212:H212),0)</f>
        <v>401201.4162922817</v>
      </c>
    </row>
    <row r="213" spans="2:9" hidden="1">
      <c r="B213" s="134">
        <f>First_Year+'Appendix B. Project Information'!B51</f>
        <v>2054</v>
      </c>
      <c r="C213" s="136">
        <f t="shared" si="54"/>
        <v>33365.356045415676</v>
      </c>
      <c r="D213" s="135">
        <f t="shared" si="55"/>
        <v>368.81235496161622</v>
      </c>
      <c r="E213" s="135">
        <f t="shared" si="52"/>
        <v>278995.13153711252</v>
      </c>
      <c r="F213" s="135">
        <f t="shared" si="53"/>
        <v>103748.43879332625</v>
      </c>
      <c r="G213" s="135">
        <f t="shared" si="56"/>
        <v>0</v>
      </c>
      <c r="H213" s="135">
        <f t="shared" si="57"/>
        <v>0</v>
      </c>
      <c r="I213" s="146">
        <f>IF(Table25[[#This Row],[Year]]&gt;Closeout,SUM(C213:H213),0)</f>
        <v>416477.73873081605</v>
      </c>
    </row>
    <row r="214" spans="2:9" hidden="1">
      <c r="B214" s="134">
        <f>First_Year+'Appendix B. Project Information'!B52</f>
        <v>2055</v>
      </c>
      <c r="C214" s="136">
        <f t="shared" si="54"/>
        <v>34535.511662294048</v>
      </c>
      <c r="D214" s="135">
        <f t="shared" si="55"/>
        <v>381.794159349452</v>
      </c>
      <c r="E214" s="135">
        <f t="shared" si="52"/>
        <v>289177.21045803337</v>
      </c>
      <c r="F214" s="135">
        <f t="shared" si="53"/>
        <v>107659.54488967359</v>
      </c>
      <c r="G214" s="135">
        <f t="shared" si="56"/>
        <v>0</v>
      </c>
      <c r="H214" s="135">
        <f t="shared" si="57"/>
        <v>0</v>
      </c>
      <c r="I214" s="146">
        <f>IF(Table25[[#This Row],[Year]]&gt;Closeout,SUM(C214:H214),0)</f>
        <v>431754.06116935046</v>
      </c>
    </row>
    <row r="215" spans="2:9" hidden="1">
      <c r="B215" s="134">
        <f>First_Year+'Appendix B. Project Information'!B53</f>
        <v>2056</v>
      </c>
      <c r="C215" s="136">
        <f t="shared" si="54"/>
        <v>35705.66727917242</v>
      </c>
      <c r="D215" s="135">
        <f t="shared" si="55"/>
        <v>394.77596373728778</v>
      </c>
      <c r="E215" s="135">
        <f t="shared" si="52"/>
        <v>299359.28937895421</v>
      </c>
      <c r="F215" s="135">
        <f t="shared" si="53"/>
        <v>111570.65098602093</v>
      </c>
      <c r="G215" s="135">
        <f t="shared" si="56"/>
        <v>0</v>
      </c>
      <c r="H215" s="135">
        <f t="shared" si="57"/>
        <v>0</v>
      </c>
      <c r="I215" s="146">
        <f>IF(Table25[[#This Row],[Year]]&gt;Closeout,SUM(C215:H215),0)</f>
        <v>447030.38360788487</v>
      </c>
    </row>
    <row r="216" spans="2:9" hidden="1">
      <c r="B216" s="134">
        <f>First_Year+'Appendix B. Project Information'!B54</f>
        <v>2057</v>
      </c>
      <c r="C216" s="136">
        <f t="shared" si="54"/>
        <v>36875.822896050791</v>
      </c>
      <c r="D216" s="135">
        <f t="shared" si="55"/>
        <v>407.75776812512356</v>
      </c>
      <c r="E216" s="135">
        <f t="shared" si="52"/>
        <v>309541.36829987506</v>
      </c>
      <c r="F216" s="135">
        <f t="shared" si="53"/>
        <v>115481.75708236828</v>
      </c>
      <c r="G216" s="135">
        <f t="shared" si="56"/>
        <v>0</v>
      </c>
      <c r="H216" s="135">
        <f t="shared" si="57"/>
        <v>0</v>
      </c>
      <c r="I216" s="146">
        <f>IF(Table25[[#This Row],[Year]]&gt;Closeout,SUM(C216:H216),0)</f>
        <v>462306.70604641922</v>
      </c>
    </row>
    <row r="217" spans="2:9" hidden="1">
      <c r="B217" s="134">
        <f>First_Year+'Appendix B. Project Information'!B55</f>
        <v>2058</v>
      </c>
      <c r="C217" s="136">
        <f>'MM_2. Emissions Benefits'!C35</f>
        <v>38045.978512929178</v>
      </c>
      <c r="D217" s="135">
        <f>'MM_2. Emissions Benefits'!D35</f>
        <v>420.73957251295928</v>
      </c>
      <c r="E217" s="135">
        <f>'MM_2. Emissions Benefits'!E35</f>
        <v>319723.4472207959</v>
      </c>
      <c r="F217" s="136">
        <f>'MM_2. Emissions Benefits'!F35</f>
        <v>119392.86317871558</v>
      </c>
      <c r="G217" s="136">
        <f>'MM_2. Emissions Benefits'!G35</f>
        <v>0</v>
      </c>
      <c r="H217" s="136">
        <f>'MM_2. Emissions Benefits'!H35</f>
        <v>0</v>
      </c>
      <c r="I217" s="146">
        <f>IF(Table25[[#This Row],[Year]]&gt;Closeout,SUM(C217:H217),0)</f>
        <v>477583.02848495363</v>
      </c>
    </row>
    <row r="218" spans="2:9" hidden="1">
      <c r="B218" s="134" t="s">
        <v>28</v>
      </c>
      <c r="C218" s="136">
        <f>SUBTOTAL(109,Table25[NOX])</f>
        <v>0</v>
      </c>
      <c r="D218" s="136">
        <f>SUBTOTAL(109,Table25[SOx])</f>
        <v>0</v>
      </c>
      <c r="E218" s="136">
        <f>SUBTOTAL(109,Table25[PM2.5])</f>
        <v>0</v>
      </c>
      <c r="F218" s="136">
        <f>SUBTOTAL(109,Table25[CO2])</f>
        <v>0</v>
      </c>
      <c r="G218" s="136">
        <f>SUBTOTAL(109,Table25[PM10])</f>
        <v>0</v>
      </c>
      <c r="H218" s="136">
        <f>SUBTOTAL(109,Table25[VOC])</f>
        <v>0</v>
      </c>
      <c r="I218" s="146">
        <f>SUBTOTAL(109,Table25[Total])</f>
        <v>0</v>
      </c>
    </row>
    <row r="219" spans="2:9">
      <c r="B219" s="134"/>
      <c r="C219" s="136"/>
      <c r="D219" s="135"/>
      <c r="E219" s="135"/>
      <c r="F219" s="136"/>
      <c r="G219" s="136"/>
      <c r="H219" s="136"/>
      <c r="I219" s="136"/>
    </row>
    <row r="220" spans="2:9">
      <c r="B220" s="134"/>
      <c r="C220" s="136"/>
      <c r="D220" s="135"/>
      <c r="E220" s="135"/>
      <c r="F220" s="136"/>
      <c r="G220" s="136"/>
      <c r="H220" s="136"/>
      <c r="I220" s="136"/>
    </row>
  </sheetData>
  <mergeCells count="6">
    <mergeCell ref="B12:I12"/>
    <mergeCell ref="A1:I1"/>
    <mergeCell ref="B8:I8"/>
    <mergeCell ref="B9:I9"/>
    <mergeCell ref="B10:I10"/>
    <mergeCell ref="B11:I11"/>
  </mergeCells>
  <pageMargins left="0.7" right="0.7" top="0.75" bottom="0.75" header="0.3" footer="0.3"/>
  <pageSetup scale="81" fitToHeight="0" orientation="landscape" r:id="rId1"/>
  <rowBreaks count="4" manualBreakCount="4">
    <brk id="12" max="16383" man="1"/>
    <brk id="53" max="16383" man="1"/>
    <brk id="94" max="16383" man="1"/>
    <brk id="135" max="16383" man="1"/>
  </rowBreaks>
  <drawing r:id="rId2"/>
  <tableParts count="5">
    <tablePart r:id="rId3"/>
    <tablePart r:id="rId4"/>
    <tablePart r:id="rId5"/>
    <tablePart r:id="rId6"/>
    <tablePart r:id="rId7"/>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13EA4-AC55-4685-A753-30A81E4F8636}">
  <sheetPr>
    <tabColor theme="9"/>
    <pageSetUpPr fitToPage="1"/>
  </sheetPr>
  <dimension ref="A1:I51"/>
  <sheetViews>
    <sheetView showGridLines="0" topLeftCell="A7" zoomScale="85" zoomScaleNormal="85" workbookViewId="0">
      <selection activeCell="N16" sqref="N16"/>
    </sheetView>
  </sheetViews>
  <sheetFormatPr defaultColWidth="9.140625" defaultRowHeight="12.75"/>
  <cols>
    <col min="1" max="1" width="21.7109375" style="61" customWidth="1"/>
    <col min="2" max="8" width="15.7109375" style="61" customWidth="1"/>
    <col min="9" max="9" width="21.7109375" style="61" customWidth="1"/>
    <col min="10" max="16384" width="9.140625" style="61"/>
  </cols>
  <sheetData>
    <row r="1" spans="1:9" ht="15" customHeight="1">
      <c r="A1" s="497" t="s">
        <v>118</v>
      </c>
      <c r="B1" s="497"/>
      <c r="C1" s="497"/>
      <c r="D1" s="497"/>
      <c r="E1" s="497"/>
      <c r="F1" s="497"/>
      <c r="G1" s="497"/>
      <c r="H1" s="497"/>
      <c r="I1" s="497"/>
    </row>
    <row r="2" spans="1:9" ht="15" customHeight="1">
      <c r="A2" s="62" t="s">
        <v>1</v>
      </c>
      <c r="B2" s="63" t="str">
        <f>Project_Name</f>
        <v>Completing the I-95 Missing Move and Quonset Connector Ramps</v>
      </c>
      <c r="C2" s="63"/>
    </row>
    <row r="3" spans="1:9" ht="15" customHeight="1">
      <c r="A3" s="62" t="s">
        <v>2</v>
      </c>
      <c r="B3" s="63" t="s">
        <v>56</v>
      </c>
      <c r="C3" s="63"/>
    </row>
    <row r="4" spans="1:9" ht="15" customHeight="1">
      <c r="A4" s="62" t="s">
        <v>4</v>
      </c>
      <c r="B4" s="72">
        <f>Date</f>
        <v>45159</v>
      </c>
      <c r="C4" s="72"/>
    </row>
    <row r="5" spans="1:9" ht="30" customHeight="1"/>
    <row r="6" spans="1:9" ht="13.5" thickBot="1"/>
    <row r="7" spans="1:9">
      <c r="A7" s="496" t="s">
        <v>146</v>
      </c>
      <c r="B7" s="481"/>
      <c r="C7" s="481"/>
      <c r="D7" s="481"/>
      <c r="E7" s="481"/>
      <c r="F7" s="481"/>
      <c r="G7" s="481"/>
      <c r="H7" s="481"/>
      <c r="I7" s="482"/>
    </row>
    <row r="8" spans="1:9">
      <c r="A8" s="483"/>
      <c r="B8" s="484"/>
      <c r="C8" s="484"/>
      <c r="D8" s="484"/>
      <c r="E8" s="484"/>
      <c r="F8" s="484"/>
      <c r="G8" s="484"/>
      <c r="H8" s="484"/>
      <c r="I8" s="485"/>
    </row>
    <row r="9" spans="1:9" ht="65.25" customHeight="1">
      <c r="A9" s="483"/>
      <c r="B9" s="484"/>
      <c r="C9" s="484"/>
      <c r="D9" s="484"/>
      <c r="E9" s="484"/>
      <c r="F9" s="484"/>
      <c r="G9" s="484"/>
      <c r="H9" s="484"/>
      <c r="I9" s="485"/>
    </row>
    <row r="10" spans="1:9">
      <c r="A10" s="483"/>
      <c r="B10" s="484"/>
      <c r="C10" s="484"/>
      <c r="D10" s="484"/>
      <c r="E10" s="484"/>
      <c r="F10" s="484"/>
      <c r="G10" s="484"/>
      <c r="H10" s="484"/>
      <c r="I10" s="485"/>
    </row>
    <row r="11" spans="1:9" ht="65.25" customHeight="1" thickBot="1">
      <c r="A11" s="486"/>
      <c r="B11" s="487"/>
      <c r="C11" s="487"/>
      <c r="D11" s="487"/>
      <c r="E11" s="487"/>
      <c r="F11" s="487"/>
      <c r="G11" s="487"/>
      <c r="H11" s="487"/>
      <c r="I11" s="488"/>
    </row>
    <row r="12" spans="1:9">
      <c r="B12" s="81"/>
      <c r="C12" s="81"/>
      <c r="D12" s="81"/>
      <c r="E12" s="81"/>
      <c r="F12" s="81"/>
      <c r="G12" s="81"/>
      <c r="H12" s="81"/>
      <c r="I12" s="81"/>
    </row>
    <row r="13" spans="1:9">
      <c r="B13" s="81"/>
      <c r="C13" s="81"/>
      <c r="D13" s="81"/>
      <c r="E13" s="81"/>
      <c r="F13" s="81"/>
      <c r="G13" s="81"/>
      <c r="H13" s="81"/>
      <c r="I13" s="81"/>
    </row>
    <row r="14" spans="1:9">
      <c r="B14" s="71" t="s">
        <v>120</v>
      </c>
      <c r="C14" s="81"/>
      <c r="D14" s="81"/>
      <c r="E14" s="81"/>
      <c r="F14" s="81"/>
      <c r="G14" s="81"/>
      <c r="H14" s="81"/>
      <c r="I14" s="81"/>
    </row>
    <row r="15" spans="1:9">
      <c r="B15" s="81"/>
      <c r="C15" s="81"/>
      <c r="D15" s="81"/>
      <c r="E15" s="81"/>
      <c r="F15" s="81"/>
      <c r="G15" s="81"/>
      <c r="H15" s="81"/>
      <c r="I15" s="81"/>
    </row>
    <row r="16" spans="1:9" s="77" customFormat="1" ht="15.75">
      <c r="B16" s="122" t="s">
        <v>21</v>
      </c>
      <c r="C16" s="77" t="s">
        <v>121</v>
      </c>
      <c r="D16" s="77" t="s">
        <v>122</v>
      </c>
      <c r="E16" s="77" t="s">
        <v>123</v>
      </c>
      <c r="F16" s="77" t="s">
        <v>124</v>
      </c>
      <c r="G16" s="77" t="s">
        <v>125</v>
      </c>
      <c r="H16" s="77" t="s">
        <v>126</v>
      </c>
      <c r="I16" s="77" t="s">
        <v>28</v>
      </c>
    </row>
    <row r="17" spans="2:9">
      <c r="B17" s="122">
        <v>2028</v>
      </c>
      <c r="C17" s="371" cm="1">
        <f t="array" ref="C17">IFERROR(INDEX(Table2B.3_AQ_Dif92[[#Headers],[#Data],[Year]:[VOC]],MATCH(Table2.1_EmRed86[[#This Row],[Year]:[Year]],Table2B.3_AQ_Dif92[[#Headers],[#Data],[Year]:[Year]],0),MATCH(Table2.1_EmRed86[[#Headers],[NOX]],Table2B.3_AQ_Dif92[[#Headers],[Year]:[VOC]],0)),"")</f>
        <v>0.31977260506622862</v>
      </c>
      <c r="D17" s="371" cm="1">
        <f t="array" ref="D17">IFERROR(INDEX(Table2B.3_AQ_Dif92[[#Headers],[#Data],[Year]:[VOC]],MATCH(Table2.1_EmRed86[[#This Row],[Year]:[Year]],Table2B.3_AQ_Dif92[[#Headers],[#Data],[Year]:[Year]],0),MATCH(Table2.1_EmRed86[[#Headers],[SOx]],Table2B.3_AQ_Dif92[[#Headers],[Year]:[VOC]],0)),"")</f>
        <v>-1.7843833840362755E-4</v>
      </c>
      <c r="E17" s="371" cm="1">
        <f t="array" ref="E17">IFERROR(INDEX(Table2B.3_AQ_Dif92[[#Headers],[#Data],[Year]:[VOC]],MATCH(Table2.1_EmRed86[[#This Row],[Year]:[Year]],Table2B.3_AQ_Dif92[[#Headers],[#Data],[Year]:[Year]],0),MATCH(Table2.1_EmRed86[[#Headers],[PM2.5]],Table2B.3_AQ_Dif92[[#Headers],[Year]:[VOC]],0)),"")</f>
        <v>5.1167842770326821E-2</v>
      </c>
      <c r="F17" s="371" cm="1">
        <f t="array" ref="F17">IFERROR(INDEX(Table2B.3_AQ_Dif92[[#Headers],[#Data],[Year]:[VOC]],MATCH(Table2.1_EmRed86[[#This Row],[Year]:[Year]],Table2B.3_AQ_Dif92[[#Headers],[#Data],[Year]:[Year]],0),MATCH(Table2.1_EmRed86[[#Headers],[CO2]],Table2B.3_AQ_Dif92[[#Headers],[Year]:[VOC]],0)),"")</f>
        <v>29.755443191737868</v>
      </c>
      <c r="G17" s="371" cm="1">
        <f t="array" ref="G17">IFERROR(INDEX(Table2B.3_AQ_Dif92[[#Headers],[#Data],[Year]:[VOC]],MATCH(Table2.1_EmRed86[[#This Row],[Year]:[Year]],Table2B.3_AQ_Dif92[[#Headers],[#Data],[Year]:[Year]],0),MATCH(Table2.1_EmRed86[[#Headers],[PM10]],Table2B.3_AQ_Dif92[[#Headers],[Year]:[VOC]],0)),"")</f>
        <v>0.29248217176965041</v>
      </c>
      <c r="H17" s="371" cm="1">
        <f t="array" ref="H17">IFERROR(INDEX(Table2B.3_AQ_Dif92[[#Headers],[#Data],[Year]:[VOC]],MATCH(Table2.1_EmRed86[[#This Row],[Year]:[Year]],Table2B.3_AQ_Dif92[[#Headers],[#Data],[Year]:[Year]],0),MATCH(Table2.1_EmRed86[[#Headers],[VOC]],Table2B.3_AQ_Dif92[[#Headers],[Year]:[VOC]],0)),"")</f>
        <v>8.1275169138011805E-2</v>
      </c>
      <c r="I17" s="371">
        <f>SUM(Table2.1_EmRed86[[#This Row],[NOX]:[VOC]])</f>
        <v>30.499962542143678</v>
      </c>
    </row>
    <row r="18" spans="2:9">
      <c r="B18" s="122">
        <v>2029</v>
      </c>
      <c r="C18" s="371" cm="1">
        <f t="array" ref="C18">IFERROR(INDEX(Table2B.3_AQ_Dif92[[#Headers],[#Data],[Year]:[VOC]],MATCH(Table2.1_EmRed86[[#This Row],[Year]:[Year]],Table2B.3_AQ_Dif92[[#Headers],[#Data],[Year]:[Year]],0),MATCH(Table2.1_EmRed86[[#Headers],[NOX]],Table2B.3_AQ_Dif92[[#Headers],[Year]:[VOC]],0)),"")</f>
        <v>0.32124507475400943</v>
      </c>
      <c r="D18" s="371" cm="1">
        <f t="array" ref="D18">IFERROR(INDEX(Table2B.3_AQ_Dif92[[#Headers],[#Data],[Year]:[VOC]],MATCH(Table2.1_EmRed86[[#This Row],[Year]:[Year]],Table2B.3_AQ_Dif92[[#Headers],[#Data],[Year]:[Year]],0),MATCH(Table2.1_EmRed86[[#Headers],[SOx]],Table2B.3_AQ_Dif92[[#Headers],[Year]:[VOC]],0)),"")</f>
        <v>-2.0850738866635965E-4</v>
      </c>
      <c r="E18" s="371" cm="1">
        <f t="array" ref="E18">IFERROR(INDEX(Table2B.3_AQ_Dif92[[#Headers],[#Data],[Year]:[VOC]],MATCH(Table2.1_EmRed86[[#This Row],[Year]:[Year]],Table2B.3_AQ_Dif92[[#Headers],[#Data],[Year]:[Year]],0),MATCH(Table2.1_EmRed86[[#Headers],[PM2.5]],Table2B.3_AQ_Dif92[[#Headers],[Year]:[VOC]],0)),"")</f>
        <v>5.0687006806513224E-2</v>
      </c>
      <c r="F18" s="371" cm="1">
        <f t="array" ref="F18">IFERROR(INDEX(Table2B.3_AQ_Dif92[[#Headers],[#Data],[Year]:[VOC]],MATCH(Table2.1_EmRed86[[#This Row],[Year]:[Year]],Table2B.3_AQ_Dif92[[#Headers],[#Data],[Year]:[Year]],0),MATCH(Table2.1_EmRed86[[#Headers],[CO2]],Table2B.3_AQ_Dif92[[#Headers],[Year]:[VOC]],0)),"")</f>
        <v>24.996294050964934</v>
      </c>
      <c r="G18" s="371" cm="1">
        <f t="array" ref="G18">IFERROR(INDEX(Table2B.3_AQ_Dif92[[#Headers],[#Data],[Year]:[VOC]],MATCH(Table2.1_EmRed86[[#This Row],[Year]:[Year]],Table2B.3_AQ_Dif92[[#Headers],[#Data],[Year]:[Year]],0),MATCH(Table2.1_EmRed86[[#Headers],[PM10]],Table2B.3_AQ_Dif92[[#Headers],[Year]:[VOC]],0)),"")</f>
        <v>0.29258783992390569</v>
      </c>
      <c r="H18" s="371" cm="1">
        <f t="array" ref="H18">IFERROR(INDEX(Table2B.3_AQ_Dif92[[#Headers],[#Data],[Year]:[VOC]],MATCH(Table2.1_EmRed86[[#This Row],[Year]:[Year]],Table2B.3_AQ_Dif92[[#Headers],[#Data],[Year]:[Year]],0),MATCH(Table2.1_EmRed86[[#Headers],[VOC]],Table2B.3_AQ_Dif92[[#Headers],[Year]:[VOC]],0)),"")</f>
        <v>7.8835360751181582E-2</v>
      </c>
      <c r="I18" s="371">
        <f>SUM(Table2.1_EmRed86[[#This Row],[NOX]:[VOC]])</f>
        <v>25.739440825811879</v>
      </c>
    </row>
    <row r="19" spans="2:9">
      <c r="B19" s="122">
        <v>2030</v>
      </c>
      <c r="C19" s="371" cm="1">
        <f t="array" ref="C19">IFERROR(INDEX(Table2B.3_AQ_Dif92[[#Headers],[#Data],[Year]:[VOC]],MATCH(Table2.1_EmRed86[[#This Row],[Year]:[Year]],Table2B.3_AQ_Dif92[[#Headers],[#Data],[Year]:[Year]],0),MATCH(Table2.1_EmRed86[[#Headers],[NOX]],Table2B.3_AQ_Dif92[[#Headers],[Year]:[VOC]],0)),"")</f>
        <v>0.32271754444179024</v>
      </c>
      <c r="D19" s="371" cm="1">
        <f t="array" ref="D19">IFERROR(INDEX(Table2B.3_AQ_Dif92[[#Headers],[#Data],[Year]:[VOC]],MATCH(Table2.1_EmRed86[[#This Row],[Year]:[Year]],Table2B.3_AQ_Dif92[[#Headers],[#Data],[Year]:[Year]],0),MATCH(Table2.1_EmRed86[[#Headers],[SOx]],Table2B.3_AQ_Dif92[[#Headers],[Year]:[VOC]],0)),"")</f>
        <v>-2.3857643892909175E-4</v>
      </c>
      <c r="E19" s="371" cm="1">
        <f t="array" ref="E19">IFERROR(INDEX(Table2B.3_AQ_Dif92[[#Headers],[#Data],[Year]:[VOC]],MATCH(Table2.1_EmRed86[[#This Row],[Year]:[Year]],Table2B.3_AQ_Dif92[[#Headers],[#Data],[Year]:[Year]],0),MATCH(Table2.1_EmRed86[[#Headers],[PM2.5]],Table2B.3_AQ_Dif92[[#Headers],[Year]:[VOC]],0)),"")</f>
        <v>5.0206170842699627E-2</v>
      </c>
      <c r="F19" s="371" cm="1">
        <f t="array" ref="F19">IFERROR(INDEX(Table2B.3_AQ_Dif92[[#Headers],[#Data],[Year]:[VOC]],MATCH(Table2.1_EmRed86[[#This Row],[Year]:[Year]],Table2B.3_AQ_Dif92[[#Headers],[#Data],[Year]:[Year]],0),MATCH(Table2.1_EmRed86[[#Headers],[CO2]],Table2B.3_AQ_Dif92[[#Headers],[Year]:[VOC]],0)),"")</f>
        <v>20.237144910192001</v>
      </c>
      <c r="G19" s="371" cm="1">
        <f t="array" ref="G19">IFERROR(INDEX(Table2B.3_AQ_Dif92[[#Headers],[#Data],[Year]:[VOC]],MATCH(Table2.1_EmRed86[[#This Row],[Year]:[Year]],Table2B.3_AQ_Dif92[[#Headers],[#Data],[Year]:[Year]],0),MATCH(Table2.1_EmRed86[[#Headers],[PM10]],Table2B.3_AQ_Dif92[[#Headers],[Year]:[VOC]],0)),"")</f>
        <v>0.29269350807816097</v>
      </c>
      <c r="H19" s="371" cm="1">
        <f t="array" ref="H19">IFERROR(INDEX(Table2B.3_AQ_Dif92[[#Headers],[#Data],[Year]:[VOC]],MATCH(Table2.1_EmRed86[[#This Row],[Year]:[Year]],Table2B.3_AQ_Dif92[[#Headers],[#Data],[Year]:[Year]],0),MATCH(Table2.1_EmRed86[[#Headers],[VOC]],Table2B.3_AQ_Dif92[[#Headers],[Year]:[VOC]],0)),"")</f>
        <v>7.639555236435136E-2</v>
      </c>
      <c r="I19" s="371">
        <f>SUM(Table2.1_EmRed86[[#This Row],[NOX]:[VOC]])</f>
        <v>20.978919109480074</v>
      </c>
    </row>
    <row r="20" spans="2:9">
      <c r="B20" s="122">
        <v>2031</v>
      </c>
      <c r="C20" s="371" cm="1">
        <f t="array" ref="C20">IFERROR(INDEX(Table2B.3_AQ_Dif92[[#Headers],[#Data],[Year]:[VOC]],MATCH(Table2.1_EmRed86[[#This Row],[Year]:[Year]],Table2B.3_AQ_Dif92[[#Headers],[#Data],[Year]:[Year]],0),MATCH(Table2.1_EmRed86[[#Headers],[NOX]],Table2B.3_AQ_Dif92[[#Headers],[Year]:[VOC]],0)),"")</f>
        <v>0.32419001412957105</v>
      </c>
      <c r="D20" s="371" cm="1">
        <f t="array" ref="D20">IFERROR(INDEX(Table2B.3_AQ_Dif92[[#Headers],[#Data],[Year]:[VOC]],MATCH(Table2.1_EmRed86[[#This Row],[Year]:[Year]],Table2B.3_AQ_Dif92[[#Headers],[#Data],[Year]:[Year]],0),MATCH(Table2.1_EmRed86[[#Headers],[SOx]],Table2B.3_AQ_Dif92[[#Headers],[Year]:[VOC]],0)),"")</f>
        <v>-2.6864548919182385E-4</v>
      </c>
      <c r="E20" s="371" cm="1">
        <f t="array" ref="E20">IFERROR(INDEX(Table2B.3_AQ_Dif92[[#Headers],[#Data],[Year]:[VOC]],MATCH(Table2.1_EmRed86[[#This Row],[Year]:[Year]],Table2B.3_AQ_Dif92[[#Headers],[#Data],[Year]:[Year]],0),MATCH(Table2.1_EmRed86[[#Headers],[PM2.5]],Table2B.3_AQ_Dif92[[#Headers],[Year]:[VOC]],0)),"")</f>
        <v>4.9725334878886029E-2</v>
      </c>
      <c r="F20" s="371" cm="1">
        <f t="array" ref="F20">IFERROR(INDEX(Table2B.3_AQ_Dif92[[#Headers],[#Data],[Year]:[VOC]],MATCH(Table2.1_EmRed86[[#This Row],[Year]:[Year]],Table2B.3_AQ_Dif92[[#Headers],[#Data],[Year]:[Year]],0),MATCH(Table2.1_EmRed86[[#Headers],[CO2]],Table2B.3_AQ_Dif92[[#Headers],[Year]:[VOC]],0)),"")</f>
        <v>15.477995769419067</v>
      </c>
      <c r="G20" s="371" cm="1">
        <f t="array" ref="G20">IFERROR(INDEX(Table2B.3_AQ_Dif92[[#Headers],[#Data],[Year]:[VOC]],MATCH(Table2.1_EmRed86[[#This Row],[Year]:[Year]],Table2B.3_AQ_Dif92[[#Headers],[#Data],[Year]:[Year]],0),MATCH(Table2.1_EmRed86[[#Headers],[PM10]],Table2B.3_AQ_Dif92[[#Headers],[Year]:[VOC]],0)),"")</f>
        <v>0.29279917623241603</v>
      </c>
      <c r="H20" s="371" cm="1">
        <f t="array" ref="H20">IFERROR(INDEX(Table2B.3_AQ_Dif92[[#Headers],[#Data],[Year]:[VOC]],MATCH(Table2.1_EmRed86[[#This Row],[Year]:[Year]],Table2B.3_AQ_Dif92[[#Headers],[#Data],[Year]:[Year]],0),MATCH(Table2.1_EmRed86[[#Headers],[VOC]],Table2B.3_AQ_Dif92[[#Headers],[Year]:[VOC]],0)),"")</f>
        <v>7.3955743977521138E-2</v>
      </c>
      <c r="I20" s="371">
        <f>SUM(Table2.1_EmRed86[[#This Row],[NOX]:[VOC]])</f>
        <v>16.218397393148269</v>
      </c>
    </row>
    <row r="21" spans="2:9">
      <c r="B21" s="122">
        <v>2032</v>
      </c>
      <c r="C21" s="371" cm="1">
        <f t="array" ref="C21">IFERROR(INDEX(Table2B.3_AQ_Dif92[[#Headers],[#Data],[Year]:[VOC]],MATCH(Table2.1_EmRed86[[#This Row],[Year]:[Year]],Table2B.3_AQ_Dif92[[#Headers],[#Data],[Year]:[Year]],0),MATCH(Table2.1_EmRed86[[#Headers],[NOX]],Table2B.3_AQ_Dif92[[#Headers],[Year]:[VOC]],0)),"")</f>
        <v>0.32566248381735186</v>
      </c>
      <c r="D21" s="371" cm="1">
        <f t="array" ref="D21">IFERROR(INDEX(Table2B.3_AQ_Dif92[[#Headers],[#Data],[Year]:[VOC]],MATCH(Table2.1_EmRed86[[#This Row],[Year]:[Year]],Table2B.3_AQ_Dif92[[#Headers],[#Data],[Year]:[Year]],0),MATCH(Table2.1_EmRed86[[#Headers],[SOx]],Table2B.3_AQ_Dif92[[#Headers],[Year]:[VOC]],0)),"")</f>
        <v>-2.9871453945455595E-4</v>
      </c>
      <c r="E21" s="371" cm="1">
        <f t="array" ref="E21">IFERROR(INDEX(Table2B.3_AQ_Dif92[[#Headers],[#Data],[Year]:[VOC]],MATCH(Table2.1_EmRed86[[#This Row],[Year]:[Year]],Table2B.3_AQ_Dif92[[#Headers],[#Data],[Year]:[Year]],0),MATCH(Table2.1_EmRed86[[#Headers],[PM2.5]],Table2B.3_AQ_Dif92[[#Headers],[Year]:[VOC]],0)),"")</f>
        <v>4.9244498915072432E-2</v>
      </c>
      <c r="F21" s="371" cm="1">
        <f t="array" ref="F21">IFERROR(INDEX(Table2B.3_AQ_Dif92[[#Headers],[#Data],[Year]:[VOC]],MATCH(Table2.1_EmRed86[[#This Row],[Year]:[Year]],Table2B.3_AQ_Dif92[[#Headers],[#Data],[Year]:[Year]],0),MATCH(Table2.1_EmRed86[[#Headers],[CO2]],Table2B.3_AQ_Dif92[[#Headers],[Year]:[VOC]],0)),"")</f>
        <v>10.718846628646133</v>
      </c>
      <c r="G21" s="371" cm="1">
        <f t="array" ref="G21">IFERROR(INDEX(Table2B.3_AQ_Dif92[[#Headers],[#Data],[Year]:[VOC]],MATCH(Table2.1_EmRed86[[#This Row],[Year]:[Year]],Table2B.3_AQ_Dif92[[#Headers],[#Data],[Year]:[Year]],0),MATCH(Table2.1_EmRed86[[#Headers],[PM10]],Table2B.3_AQ_Dif92[[#Headers],[Year]:[VOC]],0)),"")</f>
        <v>0.29290484438667108</v>
      </c>
      <c r="H21" s="371" cm="1">
        <f t="array" ref="H21">IFERROR(INDEX(Table2B.3_AQ_Dif92[[#Headers],[#Data],[Year]:[VOC]],MATCH(Table2.1_EmRed86[[#This Row],[Year]:[Year]],Table2B.3_AQ_Dif92[[#Headers],[#Data],[Year]:[Year]],0),MATCH(Table2.1_EmRed86[[#Headers],[VOC]],Table2B.3_AQ_Dif92[[#Headers],[Year]:[VOC]],0)),"")</f>
        <v>7.1515935590690916E-2</v>
      </c>
      <c r="I21" s="371">
        <f>SUM(Table2.1_EmRed86[[#This Row],[NOX]:[VOC]])</f>
        <v>11.457875676816466</v>
      </c>
    </row>
    <row r="22" spans="2:9">
      <c r="B22" s="128"/>
      <c r="C22" s="411" t="str" cm="1">
        <f t="array" ref="C22">IFERROR(INDEX(Table2B.3_AQ_Dif92[[#Headers],[#Data],[Year]:[VOC]],MATCH(Table2.1_EmRed86[[#This Row],[Year]:[Year]],Table2B.3_AQ_Dif92[[#Headers],[#Data],[Year]:[Year]],0),MATCH(Table2.1_EmRed86[[#Headers],[NOX]],Table2B.3_AQ_Dif92[[#Headers],[Year]:[VOC]],0)),"")</f>
        <v/>
      </c>
      <c r="D22" s="411" t="str" cm="1">
        <f t="array" ref="D22">IFERROR(INDEX(Table2B.3_AQ_Dif92[[#Headers],[#Data],[Year]:[VOC]],MATCH(Table2.1_EmRed86[[#This Row],[Year]:[Year]],Table2B.3_AQ_Dif92[[#Headers],[#Data],[Year]:[Year]],0),MATCH(Table2.1_EmRed86[[#Headers],[SOx]],Table2B.3_AQ_Dif92[[#Headers],[Year]:[VOC]],0)),"")</f>
        <v/>
      </c>
      <c r="E22" s="411" t="str" cm="1">
        <f t="array" ref="E22">IFERROR(INDEX(Table2B.3_AQ_Dif92[[#Headers],[#Data],[Year]:[VOC]],MATCH(Table2.1_EmRed86[[#This Row],[Year]:[Year]],Table2B.3_AQ_Dif92[[#Headers],[#Data],[Year]:[Year]],0),MATCH(Table2.1_EmRed86[[#Headers],[PM2.5]],Table2B.3_AQ_Dif92[[#Headers],[Year]:[VOC]],0)),"")</f>
        <v/>
      </c>
      <c r="F22" s="411" t="str" cm="1">
        <f t="array" ref="F22">IFERROR(INDEX(Table2B.3_AQ_Dif92[[#Headers],[#Data],[Year]:[VOC]],MATCH(Table2.1_EmRed86[[#This Row],[Year]:[Year]],Table2B.3_AQ_Dif92[[#Headers],[#Data],[Year]:[Year]],0),MATCH(Table2.1_EmRed86[[#Headers],[CO2]],Table2B.3_AQ_Dif92[[#Headers],[Year]:[VOC]],0)),"")</f>
        <v/>
      </c>
      <c r="G22" s="411" t="str" cm="1">
        <f t="array" ref="G22">IFERROR(INDEX(Table2B.3_AQ_Dif92[[#Headers],[#Data],[Year]:[VOC]],MATCH(Table2.1_EmRed86[[#This Row],[Year]:[Year]],Table2B.3_AQ_Dif92[[#Headers],[#Data],[Year]:[Year]],0),MATCH(Table2.1_EmRed86[[#Headers],[PM10]],Table2B.3_AQ_Dif92[[#Headers],[Year]:[VOC]],0)),"")</f>
        <v/>
      </c>
      <c r="H22" s="411" t="str" cm="1">
        <f t="array" ref="H22">IFERROR(INDEX(Table2B.3_AQ_Dif92[[#Headers],[#Data],[Year]:[VOC]],MATCH(Table2.1_EmRed86[[#This Row],[Year]:[Year]],Table2B.3_AQ_Dif92[[#Headers],[#Data],[Year]:[Year]],0),MATCH(Table2.1_EmRed86[[#Headers],[VOC]],Table2B.3_AQ_Dif92[[#Headers],[Year]:[VOC]],0)),"")</f>
        <v/>
      </c>
      <c r="I22" s="410">
        <f>SUM(Table2.1_EmRed86[[#This Row],[NOX]:[VOC]])</f>
        <v>0</v>
      </c>
    </row>
    <row r="23" spans="2:9">
      <c r="B23" s="122">
        <v>2058</v>
      </c>
      <c r="C23" s="371" cm="1">
        <f t="array" ref="C23">IFERROR(INDEX(Table2B.3_AQ_Dif92[[#Headers],[#Data],[Year]:[VOC]],MATCH(Table2.1_EmRed86[[#This Row],[Year]:[Year]],Table2B.3_AQ_Dif92[[#Headers],[#Data],[Year]:[Year]],0),MATCH(Table2.1_EmRed86[[#Headers],[NOX]],Table2B.3_AQ_Dif92[[#Headers],[Year]:[VOC]],0)),"")</f>
        <v>0.3639466956996551</v>
      </c>
      <c r="D23" s="371" cm="1">
        <f t="array" ref="D23">IFERROR(INDEX(Table2B.3_AQ_Dif92[[#Headers],[#Data],[Year]:[VOC]],MATCH(Table2.1_EmRed86[[#This Row],[Year]:[Year]],Table2B.3_AQ_Dif92[[#Headers],[#Data],[Year]:[Year]],0),MATCH(Table2.1_EmRed86[[#Headers],[SOx]],Table2B.3_AQ_Dif92[[#Headers],[Year]:[VOC]],0)),"")</f>
        <v>-1.0805098462857016E-3</v>
      </c>
      <c r="E23" s="371" cm="1">
        <f t="array" ref="E23">IFERROR(INDEX(Table2B.3_AQ_Dif92[[#Headers],[#Data],[Year]:[VOC]],MATCH(Table2.1_EmRed86[[#This Row],[Year]:[Year]],Table2B.3_AQ_Dif92[[#Headers],[#Data],[Year]:[Year]],0),MATCH(Table2.1_EmRed86[[#Headers],[PM2.5]],Table2B.3_AQ_Dif92[[#Headers],[Year]:[VOC]],0)),"")</f>
        <v>3.674276385591918E-2</v>
      </c>
      <c r="F23" s="371" cm="1">
        <f t="array" ref="F23">IFERROR(INDEX(Table2B.3_AQ_Dif92[[#Headers],[#Data],[Year]:[VOC]],MATCH(Table2.1_EmRed86[[#This Row],[Year]:[Year]],Table2B.3_AQ_Dif92[[#Headers],[#Data],[Year]:[Year]],0),MATCH(Table2.1_EmRed86[[#Headers],[CO2]],Table2B.3_AQ_Dif92[[#Headers],[Year]:[VOC]],0)),"")</f>
        <v>-113.01903103141194</v>
      </c>
      <c r="G23" s="371" cm="1">
        <f t="array" ref="G23">IFERROR(INDEX(Table2B.3_AQ_Dif92[[#Headers],[#Data],[Year]:[VOC]],MATCH(Table2.1_EmRed86[[#This Row],[Year]:[Year]],Table2B.3_AQ_Dif92[[#Headers],[#Data],[Year]:[Year]],0),MATCH(Table2.1_EmRed86[[#Headers],[PM10]],Table2B.3_AQ_Dif92[[#Headers],[Year]:[VOC]],0)),"")</f>
        <v>0.29565221639730366</v>
      </c>
      <c r="H23" s="371" cm="1">
        <f t="array" ref="H23">IFERROR(INDEX(Table2B.3_AQ_Dif92[[#Headers],[#Data],[Year]:[VOC]],MATCH(Table2.1_EmRed86[[#This Row],[Year]:[Year]],Table2B.3_AQ_Dif92[[#Headers],[#Data],[Year]:[Year]],0),MATCH(Table2.1_EmRed86[[#Headers],[VOC]],Table2B.3_AQ_Dif92[[#Headers],[Year]:[VOC]],0)),"")</f>
        <v>8.0809175331006955E-3</v>
      </c>
      <c r="I23" s="371">
        <f>SUM(Table2.1_EmRed86[[#This Row],[NOX]:[VOC]])</f>
        <v>-112.31568894777224</v>
      </c>
    </row>
    <row r="24" spans="2:9">
      <c r="B24" s="122" t="s">
        <v>127</v>
      </c>
      <c r="C24" s="153">
        <f>AVERAGE('Q_2B. Emissions Backup'!C104:C134)</f>
        <v>0.34185965038294069</v>
      </c>
      <c r="D24" s="153">
        <f>AVERAGE('Q_2B. Emissions Backup'!D104:D134)</f>
        <v>-6.2947409234461263E-4</v>
      </c>
      <c r="E24" s="153">
        <f>AVERAGE('Q_2B. Emissions Backup'!E104:E134)</f>
        <v>4.3955303313122876E-2</v>
      </c>
      <c r="F24" s="153">
        <f>AVERAGE('Q_2B. Emissions Backup'!F104:F134)</f>
        <v>-41.631793919854907</v>
      </c>
      <c r="G24" s="153">
        <f>AVERAGE('Q_2B. Emissions Backup'!G104:G134)</f>
        <v>0.29406719408347659</v>
      </c>
      <c r="H24" s="153">
        <f>AVERAGE('Q_2B. Emissions Backup'!H104:H134)</f>
        <v>4.4678043335558325E-2</v>
      </c>
      <c r="I24" s="125">
        <f>AVERAGE('Q_2B. Emissions Backup'!I104:I134)</f>
        <v>-40.907863202832154</v>
      </c>
    </row>
    <row r="25" spans="2:9">
      <c r="B25" s="81"/>
      <c r="C25" s="81"/>
      <c r="D25" s="81"/>
      <c r="E25" s="81"/>
      <c r="F25" s="81"/>
      <c r="G25" s="81"/>
      <c r="H25" s="81"/>
      <c r="I25" s="81"/>
    </row>
    <row r="26" spans="2:9">
      <c r="B26" s="71" t="s">
        <v>128</v>
      </c>
      <c r="C26" s="81"/>
      <c r="D26" s="81"/>
      <c r="E26" s="81"/>
      <c r="F26" s="81"/>
      <c r="G26" s="81"/>
      <c r="H26" s="81"/>
      <c r="I26" s="81"/>
    </row>
    <row r="27" spans="2:9">
      <c r="B27" s="81"/>
      <c r="C27" s="81"/>
      <c r="D27" s="81"/>
      <c r="E27" s="81"/>
      <c r="F27" s="81"/>
      <c r="G27" s="81"/>
      <c r="H27" s="81"/>
      <c r="I27" s="81"/>
    </row>
    <row r="28" spans="2:9" ht="15.75">
      <c r="B28" s="122" t="s">
        <v>21</v>
      </c>
      <c r="C28" s="77" t="s">
        <v>121</v>
      </c>
      <c r="D28" s="77" t="s">
        <v>122</v>
      </c>
      <c r="E28" s="77" t="s">
        <v>123</v>
      </c>
      <c r="F28" s="77" t="s">
        <v>124</v>
      </c>
      <c r="G28" s="77" t="s">
        <v>125</v>
      </c>
      <c r="H28" s="77" t="s">
        <v>126</v>
      </c>
      <c r="I28" s="77" t="s">
        <v>28</v>
      </c>
    </row>
    <row r="29" spans="2:9">
      <c r="B29" s="122">
        <v>2028</v>
      </c>
      <c r="C29" s="370" cm="1">
        <f t="array" ref="C29">IFERROR(INDEX(Table2B.4_AQ_Dollars93[[#Headers],[#Data],[Year]:[VOC]],MATCH(Table2.2_EmMoney87[[#This Row],[Year]:[Year]],Table2B.4_AQ_Dollars93[[#Headers],[#Data],[Year]:[Year]],0),MATCH(Table2.2_EmMoney87[[#Headers],[NOX]],Table2B.4_AQ_Dollars93[[#Headers],[Year]:[VOC]],0)),"")</f>
        <v>5723.9296306854922</v>
      </c>
      <c r="D29" s="370" cm="1">
        <f t="array" ref="D29">IFERROR(INDEX(Table2B.4_AQ_Dollars93[[#Headers],[#Data],[Year]:[VOC]],MATCH(Table2.2_EmMoney87[[#This Row],[Year]:[Year]],Table2B.4_AQ_Dollars93[[#Headers],[#Data],[Year]:[Year]],0),MATCH(Table2.2_EmMoney87[[#Headers],[SOx]],Table2B.4_AQ_Dollars93[[#Headers],[Year]:[VOC]],0)),"")</f>
        <v>-8.6899470802566618</v>
      </c>
      <c r="E29" s="370" cm="1">
        <f t="array" ref="E29">IFERROR(INDEX(Table2B.4_AQ_Dollars93[[#Headers],[#Data],[Year]:[VOC]],MATCH(Table2.2_EmMoney87[[#This Row],[Year]:[Year]],Table2B.4_AQ_Dollars93[[#Headers],[#Data],[Year]:[Year]],0),MATCH(Table2.2_EmMoney87[[#Headers],[PM2.5]],Table2B.4_AQ_Dollars93[[#Headers],[Year]:[VOC]],0)),"")</f>
        <v>44290.884701994895</v>
      </c>
      <c r="F29" s="370" cm="1">
        <f t="array" ref="F29">IFERROR(INDEX(Table2B.4_AQ_Dollars93[[#Headers],[#Data],[Year]:[VOC]],MATCH(Table2.2_EmMoney87[[#This Row],[Year]:[Year]],Table2B.4_AQ_Dollars93[[#Headers],[#Data],[Year]:[Year]],0),MATCH(Table2.2_EmMoney87[[#Headers],[CO2]],Table2B.4_AQ_Dollars93[[#Headers],[Year]:[VOC]],0)),"")</f>
        <v>1815.0820346960099</v>
      </c>
      <c r="G29" s="370" cm="1">
        <f t="array" ref="G29">IFERROR(INDEX(Table2B.4_AQ_Dollars93[[#Headers],[#Data],[Year]:[VOC]],MATCH(Table2.2_EmMoney87[[#This Row],[Year]:[Year]],Table2B.4_AQ_Dollars93[[#Headers],[#Data],[Year]:[Year]],0),MATCH(Table2.2_EmMoney87[[#Headers],[PM10]],Table2B.4_AQ_Dollars93[[#Headers],[Year]:[VOC]],0)),"")</f>
        <v>0</v>
      </c>
      <c r="H29" s="370" cm="1">
        <f t="array" ref="H29">IFERROR(INDEX(Table2B.4_AQ_Dollars93[[#Headers],[#Data],[Year]:[VOC]],MATCH(Table2.2_EmMoney87[[#This Row],[Year]:[Year]],Table2B.4_AQ_Dollars93[[#Headers],[#Data],[Year]:[Year]],0),MATCH(Table2.2_EmMoney87[[#Headers],[VOC]],Table2B.4_AQ_Dollars93[[#Headers],[Year]:[VOC]],0)),"")</f>
        <v>0</v>
      </c>
      <c r="I29" s="370">
        <f>SUM(Table2.2_EmMoney87[[#This Row],[NOX]:[VOC]])</f>
        <v>51821.206420296141</v>
      </c>
    </row>
    <row r="30" spans="2:9">
      <c r="B30" s="122">
        <v>2029</v>
      </c>
      <c r="C30" s="370" cm="1">
        <f t="array" ref="C30">IFERROR(INDEX(Table2B.4_AQ_Dollars93[[#Headers],[#Data],[Year]:[VOC]],MATCH(Table2.2_EmMoney87[[#This Row],[Year]:[Year]],Table2B.4_AQ_Dollars93[[#Headers],[#Data],[Year]:[Year]],0),MATCH(Table2.2_EmMoney87[[#Headers],[NOX]],Table2B.4_AQ_Dollars93[[#Headers],[Year]:[VOC]],0)),"")</f>
        <v>5846.660360522972</v>
      </c>
      <c r="D30" s="370" cm="1">
        <f t="array" ref="D30">IFERROR(INDEX(Table2B.4_AQ_Dollars93[[#Headers],[#Data],[Year]:[VOC]],MATCH(Table2.2_EmMoney87[[#This Row],[Year]:[Year]],Table2B.4_AQ_Dollars93[[#Headers],[#Data],[Year]:[Year]],0),MATCH(Table2.2_EmMoney87[[#Headers],[SOx]],Table2B.4_AQ_Dollars93[[#Headers],[Year]:[VOC]],0)),"")</f>
        <v>-10.321115738984803</v>
      </c>
      <c r="E30" s="370" cm="1">
        <f t="array" ref="E30">IFERROR(INDEX(Table2B.4_AQ_Dollars93[[#Headers],[#Data],[Year]:[VOC]],MATCH(Table2.2_EmMoney87[[#This Row],[Year]:[Year]],Table2B.4_AQ_Dollars93[[#Headers],[#Data],[Year]:[Year]],0),MATCH(Table2.2_EmMoney87[[#Headers],[PM2.5]],Table2B.4_AQ_Dollars93[[#Headers],[Year]:[VOC]],0)),"")</f>
        <v>44574.15378564773</v>
      </c>
      <c r="F30" s="370" cm="1">
        <f t="array" ref="F30">IFERROR(INDEX(Table2B.4_AQ_Dollars93[[#Headers],[#Data],[Year]:[VOC]],MATCH(Table2.2_EmMoney87[[#This Row],[Year]:[Year]],Table2B.4_AQ_Dollars93[[#Headers],[#Data],[Year]:[Year]],0),MATCH(Table2.2_EmMoney87[[#Headers],[CO2]],Table2B.4_AQ_Dollars93[[#Headers],[Year]:[VOC]],0)),"")</f>
        <v>1549.7702311598259</v>
      </c>
      <c r="G30" s="370" cm="1">
        <f t="array" ref="G30">IFERROR(INDEX(Table2B.4_AQ_Dollars93[[#Headers],[#Data],[Year]:[VOC]],MATCH(Table2.2_EmMoney87[[#This Row],[Year]:[Year]],Table2B.4_AQ_Dollars93[[#Headers],[#Data],[Year]:[Year]],0),MATCH(Table2.2_EmMoney87[[#Headers],[PM10]],Table2B.4_AQ_Dollars93[[#Headers],[Year]:[VOC]],0)),"")</f>
        <v>0</v>
      </c>
      <c r="H30" s="370" cm="1">
        <f t="array" ref="H30">IFERROR(INDEX(Table2B.4_AQ_Dollars93[[#Headers],[#Data],[Year]:[VOC]],MATCH(Table2.2_EmMoney87[[#This Row],[Year]:[Year]],Table2B.4_AQ_Dollars93[[#Headers],[#Data],[Year]:[Year]],0),MATCH(Table2.2_EmMoney87[[#Headers],[VOC]],Table2B.4_AQ_Dollars93[[#Headers],[Year]:[VOC]],0)),"")</f>
        <v>0</v>
      </c>
      <c r="I30" s="370">
        <f>SUM(Table2.2_EmMoney87[[#This Row],[NOX]:[VOC]])</f>
        <v>51960.263261591543</v>
      </c>
    </row>
    <row r="31" spans="2:9">
      <c r="B31" s="122">
        <v>2030</v>
      </c>
      <c r="C31" s="370" cm="1">
        <f t="array" ref="C31">IFERROR(INDEX(Table2B.4_AQ_Dollars93[[#Headers],[#Data],[Year]:[VOC]],MATCH(Table2.2_EmMoney87[[#This Row],[Year]:[Year]],Table2B.4_AQ_Dollars93[[#Headers],[#Data],[Year]:[Year]],0),MATCH(Table2.2_EmMoney87[[#Headers],[NOX]],Table2B.4_AQ_Dollars93[[#Headers],[Year]:[VOC]],0)),"")</f>
        <v>6002.5463266172983</v>
      </c>
      <c r="D31" s="370" cm="1">
        <f t="array" ref="D31">IFERROR(INDEX(Table2B.4_AQ_Dollars93[[#Headers],[#Data],[Year]:[VOC]],MATCH(Table2.2_EmMoney87[[#This Row],[Year]:[Year]],Table2B.4_AQ_Dollars93[[#Headers],[#Data],[Year]:[Year]],0),MATCH(Table2.2_EmMoney87[[#Headers],[SOx]],Table2B.4_AQ_Dollars93[[#Headers],[Year]:[VOC]],0)),"")</f>
        <v>-12.024252522026224</v>
      </c>
      <c r="E31" s="370" cm="1">
        <f t="array" ref="E31">IFERROR(INDEX(Table2B.4_AQ_Dollars93[[#Headers],[#Data],[Year]:[VOC]],MATCH(Table2.2_EmMoney87[[#This Row],[Year]:[Year]],Table2B.4_AQ_Dollars93[[#Headers],[#Data],[Year]:[Year]],0),MATCH(Table2.2_EmMoney87[[#Headers],[PM2.5]],Table2B.4_AQ_Dollars93[[#Headers],[Year]:[VOC]],0)),"")</f>
        <v>44854.193030867849</v>
      </c>
      <c r="F31" s="370" cm="1">
        <f t="array" ref="F31">IFERROR(INDEX(Table2B.4_AQ_Dollars93[[#Headers],[#Data],[Year]:[VOC]],MATCH(Table2.2_EmMoney87[[#This Row],[Year]:[Year]],Table2B.4_AQ_Dollars93[[#Headers],[#Data],[Year]:[Year]],0),MATCH(Table2.2_EmMoney87[[#Headers],[CO2]],Table2B.4_AQ_Dollars93[[#Headers],[Year]:[VOC]],0)),"")</f>
        <v>1274.940129342096</v>
      </c>
      <c r="G31" s="370" cm="1">
        <f t="array" ref="G31">IFERROR(INDEX(Table2B.4_AQ_Dollars93[[#Headers],[#Data],[Year]:[VOC]],MATCH(Table2.2_EmMoney87[[#This Row],[Year]:[Year]],Table2B.4_AQ_Dollars93[[#Headers],[#Data],[Year]:[Year]],0),MATCH(Table2.2_EmMoney87[[#Headers],[PM10]],Table2B.4_AQ_Dollars93[[#Headers],[Year]:[VOC]],0)),"")</f>
        <v>0</v>
      </c>
      <c r="H31" s="370" cm="1">
        <f t="array" ref="H31">IFERROR(INDEX(Table2B.4_AQ_Dollars93[[#Headers],[#Data],[Year]:[VOC]],MATCH(Table2.2_EmMoney87[[#This Row],[Year]:[Year]],Table2B.4_AQ_Dollars93[[#Headers],[#Data],[Year]:[Year]],0),MATCH(Table2.2_EmMoney87[[#Headers],[VOC]],Table2B.4_AQ_Dollars93[[#Headers],[Year]:[VOC]],0)),"")</f>
        <v>0</v>
      </c>
      <c r="I31" s="370">
        <f>SUM(Table2.2_EmMoney87[[#This Row],[NOX]:[VOC]])</f>
        <v>52119.655234305217</v>
      </c>
    </row>
    <row r="32" spans="2:9">
      <c r="B32" s="122">
        <v>2031</v>
      </c>
      <c r="C32" s="370" cm="1">
        <f t="array" ref="C32">IFERROR(INDEX(Table2B.4_AQ_Dollars93[[#Headers],[#Data],[Year]:[VOC]],MATCH(Table2.2_EmMoney87[[#This Row],[Year]:[Year]],Table2B.4_AQ_Dollars93[[#Headers],[#Data],[Year]:[Year]],0),MATCH(Table2.2_EmMoney87[[#Headers],[NOX]],Table2B.4_AQ_Dollars93[[#Headers],[Year]:[VOC]],0)),"")</f>
        <v>6127.1912670488928</v>
      </c>
      <c r="D32" s="370" cm="1">
        <f t="array" ref="D32">IFERROR(INDEX(Table2B.4_AQ_Dollars93[[#Headers],[#Data],[Year]:[VOC]],MATCH(Table2.2_EmMoney87[[#This Row],[Year]:[Year]],Table2B.4_AQ_Dollars93[[#Headers],[#Data],[Year]:[Year]],0),MATCH(Table2.2_EmMoney87[[#Headers],[SOx]],Table2B.4_AQ_Dollars93[[#Headers],[Year]:[VOC]],0)),"")</f>
        <v>-13.781513595540563</v>
      </c>
      <c r="E32" s="370" cm="1">
        <f t="array" ref="E32">IFERROR(INDEX(Table2B.4_AQ_Dollars93[[#Headers],[#Data],[Year]:[VOC]],MATCH(Table2.2_EmMoney87[[#This Row],[Year]:[Year]],Table2B.4_AQ_Dollars93[[#Headers],[#Data],[Year]:[Year]],0),MATCH(Table2.2_EmMoney87[[#Headers],[PM2.5]],Table2B.4_AQ_Dollars93[[#Headers],[Year]:[VOC]],0)),"")</f>
        <v>45130.713936076958</v>
      </c>
      <c r="F32" s="370" cm="1">
        <f t="array" ref="F32">IFERROR(INDEX(Table2B.4_AQ_Dollars93[[#Headers],[#Data],[Year]:[VOC]],MATCH(Table2.2_EmMoney87[[#This Row],[Year]:[Year]],Table2B.4_AQ_Dollars93[[#Headers],[#Data],[Year]:[Year]],0),MATCH(Table2.2_EmMoney87[[#Headers],[CO2]],Table2B.4_AQ_Dollars93[[#Headers],[Year]:[VOC]],0)),"")</f>
        <v>1006.0697250122394</v>
      </c>
      <c r="G32" s="370" cm="1">
        <f t="array" ref="G32">IFERROR(INDEX(Table2B.4_AQ_Dollars93[[#Headers],[#Data],[Year]:[VOC]],MATCH(Table2.2_EmMoney87[[#This Row],[Year]:[Year]],Table2B.4_AQ_Dollars93[[#Headers],[#Data],[Year]:[Year]],0),MATCH(Table2.2_EmMoney87[[#Headers],[PM10]],Table2B.4_AQ_Dollars93[[#Headers],[Year]:[VOC]],0)),"")</f>
        <v>0</v>
      </c>
      <c r="H32" s="370" cm="1">
        <f t="array" ref="H32">IFERROR(INDEX(Table2B.4_AQ_Dollars93[[#Headers],[#Data],[Year]:[VOC]],MATCH(Table2.2_EmMoney87[[#This Row],[Year]:[Year]],Table2B.4_AQ_Dollars93[[#Headers],[#Data],[Year]:[Year]],0),MATCH(Table2.2_EmMoney87[[#Headers],[VOC]],Table2B.4_AQ_Dollars93[[#Headers],[Year]:[VOC]],0)),"")</f>
        <v>0</v>
      </c>
      <c r="I32" s="370">
        <f>SUM(Table2.2_EmMoney87[[#This Row],[NOX]:[VOC]])</f>
        <v>52250.193414542548</v>
      </c>
    </row>
    <row r="33" spans="2:9">
      <c r="B33" s="122">
        <v>2032</v>
      </c>
      <c r="C33" s="370" cm="1">
        <f t="array" ref="C33">IFERROR(INDEX(Table2B.4_AQ_Dollars93[[#Headers],[#Data],[Year]:[VOC]],MATCH(Table2.2_EmMoney87[[#This Row],[Year]:[Year]],Table2B.4_AQ_Dollars93[[#Headers],[#Data],[Year]:[Year]],0),MATCH(Table2.2_EmMoney87[[#Headers],[NOX]],Table2B.4_AQ_Dollars93[[#Headers],[Year]:[VOC]],0)),"")</f>
        <v>6155.0209441479501</v>
      </c>
      <c r="D33" s="370" cm="1">
        <f t="array" ref="D33">IFERROR(INDEX(Table2B.4_AQ_Dollars93[[#Headers],[#Data],[Year]:[VOC]],MATCH(Table2.2_EmMoney87[[#This Row],[Year]:[Year]],Table2B.4_AQ_Dollars93[[#Headers],[#Data],[Year]:[Year]],0),MATCH(Table2.2_EmMoney87[[#Headers],[SOx]],Table2B.4_AQ_Dollars93[[#Headers],[Year]:[VOC]],0)),"")</f>
        <v>-15.32405587401872</v>
      </c>
      <c r="E33" s="370" cm="1">
        <f t="array" ref="E33">IFERROR(INDEX(Table2B.4_AQ_Dollars93[[#Headers],[#Data],[Year]:[VOC]],MATCH(Table2.2_EmMoney87[[#This Row],[Year]:[Year]],Table2B.4_AQ_Dollars93[[#Headers],[#Data],[Year]:[Year]],0),MATCH(Table2.2_EmMoney87[[#Headers],[PM2.5]],Table2B.4_AQ_Dollars93[[#Headers],[Year]:[VOC]],0)),"")</f>
        <v>44694.307215319743</v>
      </c>
      <c r="F33" s="370" cm="1">
        <f t="array" ref="F33">IFERROR(INDEX(Table2B.4_AQ_Dollars93[[#Headers],[#Data],[Year]:[VOC]],MATCH(Table2.2_EmMoney87[[#This Row],[Year]:[Year]],Table2B.4_AQ_Dollars93[[#Headers],[#Data],[Year]:[Year]],0),MATCH(Table2.2_EmMoney87[[#Headers],[CO2]],Table2B.4_AQ_Dollars93[[#Headers],[Year]:[VOC]],0)),"")</f>
        <v>707.44387749064481</v>
      </c>
      <c r="G33" s="370" cm="1">
        <f t="array" ref="G33">IFERROR(INDEX(Table2B.4_AQ_Dollars93[[#Headers],[#Data],[Year]:[VOC]],MATCH(Table2.2_EmMoney87[[#This Row],[Year]:[Year]],Table2B.4_AQ_Dollars93[[#Headers],[#Data],[Year]:[Year]],0),MATCH(Table2.2_EmMoney87[[#Headers],[PM10]],Table2B.4_AQ_Dollars93[[#Headers],[Year]:[VOC]],0)),"")</f>
        <v>0</v>
      </c>
      <c r="H33" s="370" cm="1">
        <f t="array" ref="H33">IFERROR(INDEX(Table2B.4_AQ_Dollars93[[#Headers],[#Data],[Year]:[VOC]],MATCH(Table2.2_EmMoney87[[#This Row],[Year]:[Year]],Table2B.4_AQ_Dollars93[[#Headers],[#Data],[Year]:[Year]],0),MATCH(Table2.2_EmMoney87[[#Headers],[VOC]],Table2B.4_AQ_Dollars93[[#Headers],[Year]:[VOC]],0)),"")</f>
        <v>0</v>
      </c>
      <c r="I33" s="370">
        <f>SUM(Table2.2_EmMoney87[[#This Row],[NOX]:[VOC]])</f>
        <v>51541.447981084319</v>
      </c>
    </row>
    <row r="34" spans="2:9">
      <c r="B34" s="128"/>
      <c r="C34" s="409" t="str" cm="1">
        <f t="array" ref="C34">IFERROR(INDEX(Table2B.4_AQ_Dollars93[[#Headers],[#Data],[Year]:[VOC]],MATCH(Table2.2_EmMoney87[[#This Row],[Year]:[Year]],Table2B.4_AQ_Dollars93[[#Headers],[#Data],[Year]:[Year]],0),MATCH(Table2.2_EmMoney87[[#Headers],[NOX]],Table2B.4_AQ_Dollars93[[#Headers],[Year]:[VOC]],0)),"")</f>
        <v/>
      </c>
      <c r="D34" s="409" t="str" cm="1">
        <f t="array" ref="D34">IFERROR(INDEX(Table2B.4_AQ_Dollars93[[#Headers],[#Data],[Year]:[VOC]],MATCH(Table2.2_EmMoney87[[#This Row],[Year]:[Year]],Table2B.4_AQ_Dollars93[[#Headers],[#Data],[Year]:[Year]],0),MATCH(Table2.2_EmMoney87[[#Headers],[SOx]],Table2B.4_AQ_Dollars93[[#Headers],[Year]:[VOC]],0)),"")</f>
        <v/>
      </c>
      <c r="E34" s="409" t="str" cm="1">
        <f t="array" ref="E34">IFERROR(INDEX(Table2B.4_AQ_Dollars93[[#Headers],[#Data],[Year]:[VOC]],MATCH(Table2.2_EmMoney87[[#This Row],[Year]:[Year]],Table2B.4_AQ_Dollars93[[#Headers],[#Data],[Year]:[Year]],0),MATCH(Table2.2_EmMoney87[[#Headers],[PM2.5]],Table2B.4_AQ_Dollars93[[#Headers],[Year]:[VOC]],0)),"")</f>
        <v/>
      </c>
      <c r="F34" s="409" t="str" cm="1">
        <f t="array" ref="F34">IFERROR(INDEX(Table2B.4_AQ_Dollars93[[#Headers],[#Data],[Year]:[VOC]],MATCH(Table2.2_EmMoney87[[#This Row],[Year]:[Year]],Table2B.4_AQ_Dollars93[[#Headers],[#Data],[Year]:[Year]],0),MATCH(Table2.2_EmMoney87[[#Headers],[CO2]],Table2B.4_AQ_Dollars93[[#Headers],[Year]:[VOC]],0)),"")</f>
        <v/>
      </c>
      <c r="G34" s="409" t="str" cm="1">
        <f t="array" ref="G34">IFERROR(INDEX(Table2B.4_AQ_Dollars93[[#Headers],[#Data],[Year]:[VOC]],MATCH(Table2.2_EmMoney87[[#This Row],[Year]:[Year]],Table2B.4_AQ_Dollars93[[#Headers],[#Data],[Year]:[Year]],0),MATCH(Table2.2_EmMoney87[[#Headers],[PM10]],Table2B.4_AQ_Dollars93[[#Headers],[Year]:[VOC]],0)),"")</f>
        <v/>
      </c>
      <c r="H34" s="409" t="str" cm="1">
        <f t="array" ref="H34">IFERROR(INDEX(Table2B.4_AQ_Dollars93[[#Headers],[#Data],[Year]:[VOC]],MATCH(Table2.2_EmMoney87[[#This Row],[Year]:[Year]],Table2B.4_AQ_Dollars93[[#Headers],[#Data],[Year]:[Year]],0),MATCH(Table2.2_EmMoney87[[#Headers],[VOC]],Table2B.4_AQ_Dollars93[[#Headers],[Year]:[VOC]],0)),"")</f>
        <v/>
      </c>
      <c r="I34" s="408"/>
    </row>
    <row r="35" spans="2:9">
      <c r="B35" s="122">
        <v>2058</v>
      </c>
      <c r="C35" s="370" cm="1">
        <f t="array" ref="C35">IFERROR(INDEX(Table2B.4_AQ_Dollars93[[#Headers],[#Data],[Year]:[VOC]],MATCH(Table2.2_EmMoney87[[#This Row],[Year]:[Year]],Table2B.4_AQ_Dollars93[[#Headers],[#Data],[Year]:[Year]],0),MATCH(Table2.2_EmMoney87[[#Headers],[NOX]],Table2B.4_AQ_Dollars93[[#Headers],[Year]:[VOC]],0)),"")</f>
        <v>6878.5925487234817</v>
      </c>
      <c r="D35" s="370" cm="1">
        <f t="array" ref="D35">IFERROR(INDEX(Table2B.4_AQ_Dollars93[[#Headers],[#Data],[Year]:[VOC]],MATCH(Table2.2_EmMoney87[[#This Row],[Year]:[Year]],Table2B.4_AQ_Dollars93[[#Headers],[#Data],[Year]:[Year]],0),MATCH(Table2.2_EmMoney87[[#Headers],[SOx]],Table2B.4_AQ_Dollars93[[#Headers],[Year]:[VOC]],0)),"")</f>
        <v>-55.43015511445649</v>
      </c>
      <c r="E35" s="370" cm="1">
        <f t="array" ref="E35">IFERROR(INDEX(Table2B.4_AQ_Dollars93[[#Headers],[#Data],[Year]:[VOC]],MATCH(Table2.2_EmMoney87[[#This Row],[Year]:[Year]],Table2B.4_AQ_Dollars93[[#Headers],[#Data],[Year]:[Year]],0),MATCH(Table2.2_EmMoney87[[#Headers],[PM2.5]],Table2B.4_AQ_Dollars93[[#Headers],[Year]:[VOC]],0)),"")</f>
        <v>33347.732475632249</v>
      </c>
      <c r="F35" s="370" cm="1">
        <f t="array" ref="F35">IFERROR(INDEX(Table2B.4_AQ_Dollars93[[#Headers],[#Data],[Year]:[VOC]],MATCH(Table2.2_EmMoney87[[#This Row],[Year]:[Year]],Table2B.4_AQ_Dollars93[[#Headers],[#Data],[Year]:[Year]],0),MATCH(Table2.2_EmMoney87[[#Headers],[CO2]],Table2B.4_AQ_Dollars93[[#Headers],[Year]:[VOC]],0)),"")</f>
        <v>-9945.6747307642509</v>
      </c>
      <c r="G35" s="370" cm="1">
        <f t="array" ref="G35">IFERROR(INDEX(Table2B.4_AQ_Dollars93[[#Headers],[#Data],[Year]:[VOC]],MATCH(Table2.2_EmMoney87[[#This Row],[Year]:[Year]],Table2B.4_AQ_Dollars93[[#Headers],[#Data],[Year]:[Year]],0),MATCH(Table2.2_EmMoney87[[#Headers],[PM10]],Table2B.4_AQ_Dollars93[[#Headers],[Year]:[VOC]],0)),"")</f>
        <v>0</v>
      </c>
      <c r="H35" s="370" cm="1">
        <f t="array" ref="H35">IFERROR(INDEX(Table2B.4_AQ_Dollars93[[#Headers],[#Data],[Year]:[VOC]],MATCH(Table2.2_EmMoney87[[#This Row],[Year]:[Year]],Table2B.4_AQ_Dollars93[[#Headers],[#Data],[Year]:[Year]],0),MATCH(Table2.2_EmMoney87[[#Headers],[VOC]],Table2B.4_AQ_Dollars93[[#Headers],[Year]:[VOC]],0)),"")</f>
        <v>0</v>
      </c>
      <c r="I35" s="370">
        <f>SUM(Table2.2_EmMoney87[[#This Row],[NOX]:[VOC]])</f>
        <v>30225.220138477023</v>
      </c>
    </row>
    <row r="36" spans="2:9">
      <c r="B36" s="122" t="s">
        <v>127</v>
      </c>
      <c r="C36" s="126">
        <f>AVERAGE('Q_2B. Emissions Backup'!C146:C175)</f>
        <v>6464.3393369317637</v>
      </c>
      <c r="D36" s="126">
        <f>AVERAGE('Q_2B. Emissions Backup'!D146:D175)</f>
        <v>-33.043624340029858</v>
      </c>
      <c r="E36" s="126">
        <f>AVERAGE('Q_2B. Emissions Backup'!E146:E175)</f>
        <v>39604.219886014704</v>
      </c>
      <c r="F36" s="126">
        <f>AVERAGE('Q_2B. Emissions Backup'!F146:F175)</f>
        <v>-3795.7697120103662</v>
      </c>
      <c r="G36" s="126">
        <f>AVERAGE('Q_2B. Emissions Backup'!G146:G175)</f>
        <v>0</v>
      </c>
      <c r="H36" s="126">
        <f>AVERAGE('Q_2B. Emissions Backup'!H146:H175)</f>
        <v>0</v>
      </c>
      <c r="I36" s="105">
        <f>AVERAGE('Q_2B. Emissions Backup'!I146:I175)</f>
        <v>42239.745886596065</v>
      </c>
    </row>
    <row r="37" spans="2:9">
      <c r="B37" s="81"/>
      <c r="C37" s="81"/>
      <c r="D37" s="81"/>
      <c r="E37" s="81"/>
      <c r="F37" s="81"/>
      <c r="G37" s="81"/>
      <c r="H37" s="81"/>
      <c r="I37" s="81"/>
    </row>
    <row r="38" spans="2:9">
      <c r="B38" s="71" t="s">
        <v>129</v>
      </c>
      <c r="C38" s="81"/>
      <c r="D38" s="81"/>
      <c r="E38" s="81"/>
      <c r="F38" s="81"/>
      <c r="G38" s="81"/>
      <c r="H38" s="81"/>
      <c r="I38" s="81"/>
    </row>
    <row r="39" spans="2:9">
      <c r="I39" s="82"/>
    </row>
    <row r="40" spans="2:9">
      <c r="B40" s="77" t="s">
        <v>21</v>
      </c>
      <c r="C40" s="77" t="s">
        <v>130</v>
      </c>
      <c r="D40" s="77" t="s">
        <v>122</v>
      </c>
      <c r="E40" s="77" t="s">
        <v>131</v>
      </c>
      <c r="F40" s="77" t="s">
        <v>132</v>
      </c>
      <c r="G40" s="77" t="s">
        <v>133</v>
      </c>
      <c r="H40" s="77" t="s">
        <v>126</v>
      </c>
      <c r="I40" s="112" t="s">
        <v>96</v>
      </c>
    </row>
    <row r="41" spans="2:9">
      <c r="B41" s="77" t="s">
        <v>134</v>
      </c>
      <c r="C41" s="264">
        <f>Table2B.4_AQ_Dollars93[[#Totals],[NOX]]</f>
        <v>199654.10973863845</v>
      </c>
      <c r="D41" s="264">
        <f>Table2B.4_AQ_Dollars93[[#Totals],[SOx]]</f>
        <v>-999.99867728115237</v>
      </c>
      <c r="E41" s="264">
        <f>Table2B.4_AQ_Dollars93[[#Totals],[PM2.5]]</f>
        <v>1232417.4812824361</v>
      </c>
      <c r="F41" s="264">
        <f>Table2B.4_AQ_Dollars93[[#Totals],[CO2]]</f>
        <v>-112058.00932561497</v>
      </c>
      <c r="G41" s="264">
        <f>Table2B.4_AQ_Dollars93[[#Totals],[PM10]]</f>
        <v>0</v>
      </c>
      <c r="H41" s="264">
        <f>Table2B.4_AQ_Dollars93[[#Totals],[VOC]]</f>
        <v>0</v>
      </c>
      <c r="I41" s="264">
        <f>Table2B.4_AQ_Dollars93[[#Totals],[Total]]</f>
        <v>1319013.5830181784</v>
      </c>
    </row>
    <row r="42" spans="2:9">
      <c r="I42" s="82"/>
    </row>
    <row r="43" spans="2:9">
      <c r="I43" s="97"/>
    </row>
    <row r="44" spans="2:9">
      <c r="I44" s="97"/>
    </row>
    <row r="46" spans="2:9">
      <c r="I46" s="407"/>
    </row>
    <row r="47" spans="2:9">
      <c r="I47" s="407"/>
    </row>
    <row r="48" spans="2:9">
      <c r="I48" s="407"/>
    </row>
    <row r="49" spans="9:9">
      <c r="I49" s="407"/>
    </row>
    <row r="50" spans="9:9">
      <c r="I50" s="407"/>
    </row>
    <row r="51" spans="9:9">
      <c r="I51" s="407"/>
    </row>
  </sheetData>
  <mergeCells count="2">
    <mergeCell ref="A1:I1"/>
    <mergeCell ref="A7:I11"/>
  </mergeCells>
  <dataValidations count="1">
    <dataValidation allowBlank="1" showInputMessage="1" showErrorMessage="1" sqref="A1" xr:uid="{203F5E20-4064-422B-AE4E-2E1E26CAF884}"/>
  </dataValidations>
  <pageMargins left="0.7" right="0.7" top="0.75" bottom="0.75" header="0.3" footer="0.3"/>
  <pageSetup paperSize="3" scale="72" orientation="landscape" r:id="rId1"/>
  <drawing r:id="rId2"/>
  <tableParts count="3">
    <tablePart r:id="rId3"/>
    <tablePart r:id="rId4"/>
    <tablePart r:id="rId5"/>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5C7F6-9FB7-4DE6-8EE9-83E66C9AE986}">
  <sheetPr>
    <tabColor theme="0" tint="-0.249977111117893"/>
    <pageSetUpPr fitToPage="1"/>
  </sheetPr>
  <dimension ref="A1:I220"/>
  <sheetViews>
    <sheetView showGridLines="0" zoomScale="70" zoomScaleNormal="70" workbookViewId="0">
      <selection activeCell="B8" sqref="B8:I8"/>
    </sheetView>
  </sheetViews>
  <sheetFormatPr defaultColWidth="9.140625" defaultRowHeight="12.75"/>
  <cols>
    <col min="1" max="1" width="21.7109375" style="67" customWidth="1"/>
    <col min="2" max="2" width="15.7109375" style="84" customWidth="1"/>
    <col min="3" max="3" width="15.7109375" style="67" customWidth="1"/>
    <col min="4" max="4" width="15.7109375" style="137" customWidth="1"/>
    <col min="5" max="8" width="15.7109375" style="67" customWidth="1"/>
    <col min="9" max="9" width="21.7109375" style="67" customWidth="1"/>
    <col min="10" max="13" width="20.7109375" style="67" customWidth="1"/>
    <col min="14" max="14" width="13.42578125" style="67" customWidth="1"/>
    <col min="15" max="15" width="14" style="67" customWidth="1"/>
    <col min="16" max="16" width="12.7109375" style="67" customWidth="1"/>
    <col min="17" max="16384" width="9.140625" style="67"/>
  </cols>
  <sheetData>
    <row r="1" spans="1:9" ht="15" customHeight="1">
      <c r="A1" s="499" t="s">
        <v>135</v>
      </c>
      <c r="B1" s="500"/>
      <c r="C1" s="500"/>
      <c r="D1" s="500"/>
      <c r="E1" s="500"/>
      <c r="F1" s="500"/>
      <c r="G1" s="500"/>
      <c r="H1" s="500"/>
      <c r="I1" s="500"/>
    </row>
    <row r="2" spans="1:9" ht="15" customHeight="1">
      <c r="A2" s="99" t="s">
        <v>1</v>
      </c>
      <c r="B2" s="71" t="str">
        <f>Project_Name</f>
        <v>Completing the I-95 Missing Move and Quonset Connector Ramps</v>
      </c>
      <c r="C2" s="81"/>
      <c r="D2" s="81"/>
      <c r="E2" s="81"/>
      <c r="F2" s="81"/>
      <c r="G2" s="81"/>
      <c r="H2" s="81"/>
      <c r="I2" s="81"/>
    </row>
    <row r="3" spans="1:9" ht="15" customHeight="1">
      <c r="A3" s="99" t="s">
        <v>2</v>
      </c>
      <c r="B3" s="71" t="s">
        <v>56</v>
      </c>
      <c r="C3" s="81"/>
      <c r="D3" s="81"/>
      <c r="E3" s="81"/>
      <c r="F3" s="81"/>
      <c r="G3" s="81"/>
      <c r="H3" s="81"/>
      <c r="I3" s="81"/>
    </row>
    <row r="4" spans="1:9" ht="15" customHeight="1">
      <c r="A4" s="99" t="s">
        <v>4</v>
      </c>
      <c r="B4" s="100">
        <f>Date</f>
        <v>45159</v>
      </c>
      <c r="C4" s="81"/>
      <c r="D4" s="81"/>
      <c r="E4" s="81"/>
      <c r="F4" s="81"/>
      <c r="G4" s="81"/>
      <c r="H4" s="81"/>
      <c r="I4" s="81"/>
    </row>
    <row r="5" spans="1:9" ht="30" customHeight="1">
      <c r="A5" s="99"/>
      <c r="B5" s="101"/>
      <c r="C5" s="81"/>
      <c r="D5" s="81"/>
      <c r="E5" s="81"/>
      <c r="F5" s="81"/>
      <c r="G5" s="81"/>
      <c r="H5" s="81"/>
      <c r="I5" s="81"/>
    </row>
    <row r="6" spans="1:9">
      <c r="A6" s="99"/>
      <c r="B6" s="101"/>
      <c r="C6" s="81"/>
      <c r="D6" s="81"/>
      <c r="E6" s="81"/>
      <c r="F6" s="81"/>
      <c r="G6" s="81"/>
      <c r="H6" s="81"/>
      <c r="I6" s="81"/>
    </row>
    <row r="7" spans="1:9" ht="13.5" thickBot="1">
      <c r="A7" s="99"/>
      <c r="B7" s="101"/>
      <c r="C7" s="81"/>
      <c r="D7" s="81"/>
      <c r="E7" s="81"/>
      <c r="F7" s="81"/>
      <c r="G7" s="81"/>
      <c r="H7" s="81"/>
      <c r="I7" s="81"/>
    </row>
    <row r="8" spans="1:9" s="81" customFormat="1" ht="81" customHeight="1" thickBot="1">
      <c r="A8" s="102" t="s">
        <v>99</v>
      </c>
      <c r="B8" s="489" t="s">
        <v>147</v>
      </c>
      <c r="C8" s="494"/>
      <c r="D8" s="494"/>
      <c r="E8" s="494"/>
      <c r="F8" s="494"/>
      <c r="G8" s="494"/>
      <c r="H8" s="494"/>
      <c r="I8" s="495"/>
    </row>
    <row r="9" spans="1:9" s="81" customFormat="1" ht="131.25" customHeight="1" thickBot="1">
      <c r="A9" s="102" t="s">
        <v>101</v>
      </c>
      <c r="B9" s="489" t="s">
        <v>148</v>
      </c>
      <c r="C9" s="490"/>
      <c r="D9" s="490"/>
      <c r="E9" s="490"/>
      <c r="F9" s="490"/>
      <c r="G9" s="490"/>
      <c r="H9" s="490"/>
      <c r="I9" s="491"/>
    </row>
    <row r="10" spans="1:9" s="81" customFormat="1" ht="83.25" customHeight="1" thickBot="1">
      <c r="A10" s="102" t="s">
        <v>103</v>
      </c>
      <c r="B10" s="489" t="s">
        <v>138</v>
      </c>
      <c r="C10" s="490"/>
      <c r="D10" s="490"/>
      <c r="E10" s="490"/>
      <c r="F10" s="490"/>
      <c r="G10" s="490"/>
      <c r="H10" s="490"/>
      <c r="I10" s="491"/>
    </row>
    <row r="11" spans="1:9" s="81" customFormat="1" ht="81.75" customHeight="1" thickBot="1">
      <c r="A11" s="102" t="s">
        <v>105</v>
      </c>
      <c r="B11" s="489" t="s">
        <v>139</v>
      </c>
      <c r="C11" s="490"/>
      <c r="D11" s="490"/>
      <c r="E11" s="490"/>
      <c r="F11" s="490"/>
      <c r="G11" s="490"/>
      <c r="H11" s="490"/>
      <c r="I11" s="491"/>
    </row>
    <row r="12" spans="1:9" s="81" customFormat="1" ht="75.75" customHeight="1" thickBot="1">
      <c r="A12" s="102" t="s">
        <v>107</v>
      </c>
      <c r="B12" s="489" t="s">
        <v>140</v>
      </c>
      <c r="C12" s="490"/>
      <c r="D12" s="490"/>
      <c r="E12" s="490"/>
      <c r="F12" s="490"/>
      <c r="G12" s="490"/>
      <c r="H12" s="490"/>
      <c r="I12" s="491"/>
    </row>
    <row r="14" spans="1:9">
      <c r="B14" s="63" t="s">
        <v>141</v>
      </c>
    </row>
    <row r="16" spans="1:9">
      <c r="B16" s="133" t="s">
        <v>21</v>
      </c>
      <c r="C16" s="145" t="s">
        <v>130</v>
      </c>
      <c r="D16" s="145" t="s">
        <v>122</v>
      </c>
      <c r="E16" s="145" t="s">
        <v>131</v>
      </c>
      <c r="F16" s="145" t="s">
        <v>132</v>
      </c>
      <c r="G16" s="145" t="s">
        <v>133</v>
      </c>
      <c r="H16" s="145" t="s">
        <v>126</v>
      </c>
      <c r="I16" s="145" t="s">
        <v>28</v>
      </c>
    </row>
    <row r="17" spans="2:9">
      <c r="B17" s="134">
        <f>First_Year+'Q_Appendix B. Project Info'!B20</f>
        <v>2023</v>
      </c>
      <c r="C17" s="203"/>
      <c r="D17" s="203"/>
      <c r="E17" s="203"/>
      <c r="F17" s="203"/>
      <c r="G17" s="203"/>
      <c r="H17" s="203"/>
      <c r="I17" s="155">
        <f>SUM(Table2B.1_AQ_NB91[[#This Row],[NOX]:[VOC]])</f>
        <v>0</v>
      </c>
    </row>
    <row r="18" spans="2:9">
      <c r="B18" s="134">
        <f>First_Year+'Q_Appendix B. Project Info'!B21</f>
        <v>2024</v>
      </c>
      <c r="C18" s="203"/>
      <c r="D18" s="203"/>
      <c r="E18" s="203"/>
      <c r="F18" s="203"/>
      <c r="G18" s="203"/>
      <c r="H18" s="203"/>
      <c r="I18" s="155">
        <f>SUM(Table2B.1_AQ_NB91[[#This Row],[NOX]:[VOC]])</f>
        <v>0</v>
      </c>
    </row>
    <row r="19" spans="2:9">
      <c r="B19" s="134">
        <f>First_Year+'Q_Appendix B. Project Info'!B22</f>
        <v>2025</v>
      </c>
      <c r="C19" s="203"/>
      <c r="D19" s="203"/>
      <c r="E19" s="203"/>
      <c r="F19" s="203"/>
      <c r="G19" s="203"/>
      <c r="H19" s="203"/>
      <c r="I19" s="155">
        <f>SUM(Table2B.1_AQ_NB91[[#This Row],[NOX]:[VOC]])</f>
        <v>0</v>
      </c>
    </row>
    <row r="20" spans="2:9">
      <c r="B20" s="134">
        <f>First_Year+'Q_Appendix B. Project Info'!B23</f>
        <v>2026</v>
      </c>
      <c r="C20" s="203"/>
      <c r="D20" s="203"/>
      <c r="E20" s="203"/>
      <c r="F20" s="203"/>
      <c r="G20" s="203"/>
      <c r="H20" s="203"/>
      <c r="I20" s="155">
        <f>SUM(Table2B.1_AQ_NB91[[#This Row],[NOX]:[VOC]])</f>
        <v>0</v>
      </c>
    </row>
    <row r="21" spans="2:9">
      <c r="B21" s="134">
        <f>First_Year+'Q_Appendix B. Project Info'!B24</f>
        <v>2027</v>
      </c>
      <c r="C21" s="203"/>
      <c r="D21" s="203"/>
      <c r="E21" s="203"/>
      <c r="F21" s="203"/>
      <c r="G21" s="203"/>
      <c r="H21" s="203"/>
      <c r="I21" s="155">
        <f>SUM(Table2B.1_AQ_NB91[[#This Row],[NOX]:[VOC]])</f>
        <v>0</v>
      </c>
    </row>
    <row r="22" spans="2:9">
      <c r="B22" s="134">
        <f>First_Year+'Q_Appendix B. Project Info'!B25</f>
        <v>2028</v>
      </c>
      <c r="C22" s="203">
        <f>7.36281541482231/1.1015</f>
        <v>6.6843535313865736</v>
      </c>
      <c r="D22" s="203">
        <f>0.0813371059541554/1.1015</f>
        <v>7.3842129781348534E-2</v>
      </c>
      <c r="E22" s="203">
        <f>0.475459909497811/1.1015</f>
        <v>0.43164767090132639</v>
      </c>
      <c r="F22" s="203">
        <f>13116.7967494588/1.1015</f>
        <v>11908.122332690695</v>
      </c>
      <c r="G22" s="203">
        <f>2.18351747214925/1.1015</f>
        <v>1.9823127300492511</v>
      </c>
      <c r="H22" s="203">
        <f>5.41248791076473/1.1015</f>
        <v>4.9137429966089243</v>
      </c>
      <c r="I22" s="155">
        <f>SUM(Table2B.1_AQ_NB91[[#This Row],[NOX]:[VOC]])</f>
        <v>11922.208231749422</v>
      </c>
    </row>
    <row r="23" spans="2:9">
      <c r="B23" s="134">
        <f>First_Year+'Q_Appendix B. Project Info'!B26</f>
        <v>2029</v>
      </c>
      <c r="C23" s="371">
        <f t="shared" ref="C23:C51" si="0">C22+((C$52-C$22)/30)</f>
        <v>6.6010739938783187</v>
      </c>
      <c r="D23" s="371">
        <f t="shared" ref="D23:D51" si="1">D22+((D$52-D$22)/30)</f>
        <v>7.3777911286146358E-2</v>
      </c>
      <c r="E23" s="371">
        <f t="shared" ref="E23:E51" si="2">E22+((E$52-E$22)/30)</f>
        <v>0.42921942617455322</v>
      </c>
      <c r="F23" s="371">
        <f t="shared" ref="F23:F51" si="3">F22+((F$52-F$22)/30)</f>
        <v>11900.495135804829</v>
      </c>
      <c r="G23" s="371">
        <f t="shared" ref="G23:G51" si="4">G22+((G$52-G$22)/30)</f>
        <v>1.9897174182312451</v>
      </c>
      <c r="H23" s="371">
        <f t="shared" ref="H23:H51" si="5">H22+((H$52-H$22)/30)</f>
        <v>4.8859124242170147</v>
      </c>
      <c r="I23" s="155">
        <f>SUM(Table2B.1_AQ_NB91[[#This Row],[NOX]:[VOC]])</f>
        <v>11914.474836978618</v>
      </c>
    </row>
    <row r="24" spans="2:9">
      <c r="B24" s="134">
        <f>First_Year+'Q_Appendix B. Project Info'!B27</f>
        <v>2030</v>
      </c>
      <c r="C24" s="371">
        <f t="shared" si="0"/>
        <v>6.5177944563700638</v>
      </c>
      <c r="D24" s="371">
        <f t="shared" si="1"/>
        <v>7.3713692790944182E-2</v>
      </c>
      <c r="E24" s="371">
        <f t="shared" si="2"/>
        <v>0.42679118144778005</v>
      </c>
      <c r="F24" s="371">
        <f t="shared" si="3"/>
        <v>11892.867938918964</v>
      </c>
      <c r="G24" s="371">
        <f t="shared" si="4"/>
        <v>1.9971221064132392</v>
      </c>
      <c r="H24" s="371">
        <f t="shared" si="5"/>
        <v>4.858081851825105</v>
      </c>
      <c r="I24" s="155">
        <f>SUM(Table2B.1_AQ_NB91[[#This Row],[NOX]:[VOC]])</f>
        <v>11906.741442207811</v>
      </c>
    </row>
    <row r="25" spans="2:9">
      <c r="B25" s="134">
        <f>First_Year+'Q_Appendix B. Project Info'!B28</f>
        <v>2031</v>
      </c>
      <c r="C25" s="371">
        <f t="shared" si="0"/>
        <v>6.4345149188618089</v>
      </c>
      <c r="D25" s="371">
        <f t="shared" si="1"/>
        <v>7.3649474295742007E-2</v>
      </c>
      <c r="E25" s="371">
        <f t="shared" si="2"/>
        <v>0.42436293672100689</v>
      </c>
      <c r="F25" s="371">
        <f t="shared" si="3"/>
        <v>11885.240742033098</v>
      </c>
      <c r="G25" s="371">
        <f t="shared" si="4"/>
        <v>2.004526794595233</v>
      </c>
      <c r="H25" s="371">
        <f t="shared" si="5"/>
        <v>4.8302512794331953</v>
      </c>
      <c r="I25" s="155">
        <f>SUM(Table2B.1_AQ_NB91[[#This Row],[NOX]:[VOC]])</f>
        <v>11899.008047437004</v>
      </c>
    </row>
    <row r="26" spans="2:9">
      <c r="B26" s="134">
        <f>First_Year+'Q_Appendix B. Project Info'!B29</f>
        <v>2032</v>
      </c>
      <c r="C26" s="371">
        <f t="shared" si="0"/>
        <v>6.351235381353554</v>
      </c>
      <c r="D26" s="371">
        <f t="shared" si="1"/>
        <v>7.3585255800539831E-2</v>
      </c>
      <c r="E26" s="371">
        <f t="shared" si="2"/>
        <v>0.42193469199423372</v>
      </c>
      <c r="F26" s="371">
        <f t="shared" si="3"/>
        <v>11877.613545147233</v>
      </c>
      <c r="G26" s="371">
        <f t="shared" si="4"/>
        <v>2.0119314827772268</v>
      </c>
      <c r="H26" s="371">
        <f t="shared" si="5"/>
        <v>4.8024207070412857</v>
      </c>
      <c r="I26" s="155">
        <f>SUM(Table2B.1_AQ_NB91[[#This Row],[NOX]:[VOC]])</f>
        <v>11891.274652666199</v>
      </c>
    </row>
    <row r="27" spans="2:9">
      <c r="B27" s="134">
        <f>First_Year+'Q_Appendix B. Project Info'!B30</f>
        <v>2033</v>
      </c>
      <c r="C27" s="371">
        <f t="shared" si="0"/>
        <v>6.2679558438452991</v>
      </c>
      <c r="D27" s="371">
        <f t="shared" si="1"/>
        <v>7.3521037305337655E-2</v>
      </c>
      <c r="E27" s="371">
        <f t="shared" si="2"/>
        <v>0.41950644726746056</v>
      </c>
      <c r="F27" s="371">
        <f t="shared" si="3"/>
        <v>11869.986348261367</v>
      </c>
      <c r="G27" s="371">
        <f t="shared" si="4"/>
        <v>2.0193361709592206</v>
      </c>
      <c r="H27" s="371">
        <f t="shared" si="5"/>
        <v>4.774590134649376</v>
      </c>
      <c r="I27" s="155">
        <f>SUM(Table2B.1_AQ_NB91[[#This Row],[NOX]:[VOC]])</f>
        <v>11883.541257895395</v>
      </c>
    </row>
    <row r="28" spans="2:9">
      <c r="B28" s="134">
        <f>First_Year+'Q_Appendix B. Project Info'!B31</f>
        <v>2034</v>
      </c>
      <c r="C28" s="371">
        <f t="shared" si="0"/>
        <v>6.1846763063370442</v>
      </c>
      <c r="D28" s="371">
        <f t="shared" si="1"/>
        <v>7.345681881013548E-2</v>
      </c>
      <c r="E28" s="371">
        <f t="shared" si="2"/>
        <v>0.41707820254068739</v>
      </c>
      <c r="F28" s="371">
        <f t="shared" si="3"/>
        <v>11862.359151375502</v>
      </c>
      <c r="G28" s="371">
        <f t="shared" si="4"/>
        <v>2.0267408591412144</v>
      </c>
      <c r="H28" s="371">
        <f t="shared" si="5"/>
        <v>4.7467595622574663</v>
      </c>
      <c r="I28" s="155">
        <f>SUM(Table2B.1_AQ_NB91[[#This Row],[NOX]:[VOC]])</f>
        <v>11875.807863124588</v>
      </c>
    </row>
    <row r="29" spans="2:9">
      <c r="B29" s="134">
        <f>First_Year+'Q_Appendix B. Project Info'!B32</f>
        <v>2035</v>
      </c>
      <c r="C29" s="371">
        <f t="shared" si="0"/>
        <v>6.1013967688287893</v>
      </c>
      <c r="D29" s="371">
        <f t="shared" si="1"/>
        <v>7.3392600314933304E-2</v>
      </c>
      <c r="E29" s="371">
        <f t="shared" si="2"/>
        <v>0.41464995781391423</v>
      </c>
      <c r="F29" s="371">
        <f t="shared" si="3"/>
        <v>11854.731954489636</v>
      </c>
      <c r="G29" s="371">
        <f t="shared" si="4"/>
        <v>2.0341455473232082</v>
      </c>
      <c r="H29" s="371">
        <f t="shared" si="5"/>
        <v>4.7189289898655566</v>
      </c>
      <c r="I29" s="155">
        <f>SUM(Table2B.1_AQ_NB91[[#This Row],[NOX]:[VOC]])</f>
        <v>11868.074468353781</v>
      </c>
    </row>
    <row r="30" spans="2:9">
      <c r="B30" s="134">
        <f>First_Year+'Q_Appendix B. Project Info'!B33</f>
        <v>2036</v>
      </c>
      <c r="C30" s="371">
        <f t="shared" si="0"/>
        <v>6.0181172313205344</v>
      </c>
      <c r="D30" s="371">
        <f t="shared" si="1"/>
        <v>7.3328381819731128E-2</v>
      </c>
      <c r="E30" s="371">
        <f t="shared" si="2"/>
        <v>0.41222171308714106</v>
      </c>
      <c r="F30" s="371">
        <f t="shared" si="3"/>
        <v>11847.104757603771</v>
      </c>
      <c r="G30" s="371">
        <f t="shared" si="4"/>
        <v>2.041550235505202</v>
      </c>
      <c r="H30" s="371">
        <f t="shared" si="5"/>
        <v>4.691098417473647</v>
      </c>
      <c r="I30" s="155">
        <f>SUM(Table2B.1_AQ_NB91[[#This Row],[NOX]:[VOC]])</f>
        <v>11860.341073582977</v>
      </c>
    </row>
    <row r="31" spans="2:9">
      <c r="B31" s="134">
        <f>First_Year+'Q_Appendix B. Project Info'!B34</f>
        <v>2037</v>
      </c>
      <c r="C31" s="371">
        <f t="shared" si="0"/>
        <v>5.9348376938122795</v>
      </c>
      <c r="D31" s="371">
        <f t="shared" si="1"/>
        <v>7.3264163324528953E-2</v>
      </c>
      <c r="E31" s="371">
        <f t="shared" si="2"/>
        <v>0.4097934683603679</v>
      </c>
      <c r="F31" s="371">
        <f t="shared" si="3"/>
        <v>11839.477560717905</v>
      </c>
      <c r="G31" s="371">
        <f t="shared" si="4"/>
        <v>2.0489549236871958</v>
      </c>
      <c r="H31" s="371">
        <f t="shared" si="5"/>
        <v>4.6632678450817373</v>
      </c>
      <c r="I31" s="155">
        <f>SUM(Table2B.1_AQ_NB91[[#This Row],[NOX]:[VOC]])</f>
        <v>11852.607678812172</v>
      </c>
    </row>
    <row r="32" spans="2:9">
      <c r="B32" s="134">
        <f>First_Year+'Q_Appendix B. Project Info'!B35</f>
        <v>2038</v>
      </c>
      <c r="C32" s="371">
        <f t="shared" si="0"/>
        <v>5.8515581563040246</v>
      </c>
      <c r="D32" s="371">
        <f t="shared" si="1"/>
        <v>7.3199944829326777E-2</v>
      </c>
      <c r="E32" s="371">
        <f t="shared" si="2"/>
        <v>0.40736522363359473</v>
      </c>
      <c r="F32" s="371">
        <f t="shared" si="3"/>
        <v>11831.85036383204</v>
      </c>
      <c r="G32" s="371">
        <f t="shared" si="4"/>
        <v>2.0563596118691896</v>
      </c>
      <c r="H32" s="371">
        <f t="shared" si="5"/>
        <v>4.6354372726898276</v>
      </c>
      <c r="I32" s="155">
        <f>SUM(Table2B.1_AQ_NB91[[#This Row],[NOX]:[VOC]])</f>
        <v>11844.874284041365</v>
      </c>
    </row>
    <row r="33" spans="2:9">
      <c r="B33" s="134">
        <f>First_Year+'Q_Appendix B. Project Info'!B36</f>
        <v>2039</v>
      </c>
      <c r="C33" s="371">
        <f t="shared" si="0"/>
        <v>5.7682786187957698</v>
      </c>
      <c r="D33" s="371">
        <f t="shared" si="1"/>
        <v>7.3135726334124601E-2</v>
      </c>
      <c r="E33" s="371">
        <f t="shared" si="2"/>
        <v>0.40493697890682157</v>
      </c>
      <c r="F33" s="371">
        <f t="shared" si="3"/>
        <v>11824.223166946174</v>
      </c>
      <c r="G33" s="371">
        <f t="shared" si="4"/>
        <v>2.0637643000511834</v>
      </c>
      <c r="H33" s="371">
        <f t="shared" si="5"/>
        <v>4.607606700297918</v>
      </c>
      <c r="I33" s="155">
        <f>SUM(Table2B.1_AQ_NB91[[#This Row],[NOX]:[VOC]])</f>
        <v>11837.14088927056</v>
      </c>
    </row>
    <row r="34" spans="2:9">
      <c r="B34" s="134">
        <f>First_Year+'Q_Appendix B. Project Info'!B37</f>
        <v>2040</v>
      </c>
      <c r="C34" s="371">
        <f t="shared" si="0"/>
        <v>5.6849990812875149</v>
      </c>
      <c r="D34" s="371">
        <f t="shared" si="1"/>
        <v>7.3071507838922425E-2</v>
      </c>
      <c r="E34" s="371">
        <f t="shared" si="2"/>
        <v>0.4025087341800484</v>
      </c>
      <c r="F34" s="371">
        <f t="shared" si="3"/>
        <v>11816.595970060309</v>
      </c>
      <c r="G34" s="371">
        <f t="shared" si="4"/>
        <v>2.0711689882331772</v>
      </c>
      <c r="H34" s="371">
        <f t="shared" si="5"/>
        <v>4.5797761279060083</v>
      </c>
      <c r="I34" s="155">
        <f>SUM(Table2B.1_AQ_NB91[[#This Row],[NOX]:[VOC]])</f>
        <v>11829.407494499756</v>
      </c>
    </row>
    <row r="35" spans="2:9">
      <c r="B35" s="134">
        <f>First_Year+'Q_Appendix B. Project Info'!B38</f>
        <v>2041</v>
      </c>
      <c r="C35" s="371">
        <f t="shared" si="0"/>
        <v>5.60171954377926</v>
      </c>
      <c r="D35" s="371">
        <f t="shared" si="1"/>
        <v>7.300728934372025E-2</v>
      </c>
      <c r="E35" s="371">
        <f t="shared" si="2"/>
        <v>0.40008048945327523</v>
      </c>
      <c r="F35" s="371">
        <f t="shared" si="3"/>
        <v>11808.968773174443</v>
      </c>
      <c r="G35" s="371">
        <f t="shared" si="4"/>
        <v>2.078573676415171</v>
      </c>
      <c r="H35" s="371">
        <f t="shared" si="5"/>
        <v>4.5519455555140986</v>
      </c>
      <c r="I35" s="155">
        <f>SUM(Table2B.1_AQ_NB91[[#This Row],[NOX]:[VOC]])</f>
        <v>11821.674099728951</v>
      </c>
    </row>
    <row r="36" spans="2:9">
      <c r="B36" s="134">
        <f>First_Year+'Q_Appendix B. Project Info'!B39</f>
        <v>2042</v>
      </c>
      <c r="C36" s="371">
        <f t="shared" si="0"/>
        <v>5.5184400062710051</v>
      </c>
      <c r="D36" s="371">
        <f t="shared" si="1"/>
        <v>7.2943070848518074E-2</v>
      </c>
      <c r="E36" s="371">
        <f t="shared" si="2"/>
        <v>0.39765224472650207</v>
      </c>
      <c r="F36" s="371">
        <f t="shared" si="3"/>
        <v>11801.341576288578</v>
      </c>
      <c r="G36" s="371">
        <f t="shared" si="4"/>
        <v>2.0859783645971648</v>
      </c>
      <c r="H36" s="371">
        <f t="shared" si="5"/>
        <v>4.524114983122189</v>
      </c>
      <c r="I36" s="155">
        <f>SUM(Table2B.1_AQ_NB91[[#This Row],[NOX]:[VOC]])</f>
        <v>11813.940704958142</v>
      </c>
    </row>
    <row r="37" spans="2:9">
      <c r="B37" s="134">
        <f>First_Year+'Q_Appendix B. Project Info'!B40</f>
        <v>2043</v>
      </c>
      <c r="C37" s="371">
        <f t="shared" si="0"/>
        <v>5.4351604687627502</v>
      </c>
      <c r="D37" s="371">
        <f t="shared" si="1"/>
        <v>7.2878852353315898E-2</v>
      </c>
      <c r="E37" s="371">
        <f t="shared" si="2"/>
        <v>0.3952239999997289</v>
      </c>
      <c r="F37" s="371">
        <f t="shared" si="3"/>
        <v>11793.714379402712</v>
      </c>
      <c r="G37" s="371">
        <f t="shared" si="4"/>
        <v>2.0933830527791586</v>
      </c>
      <c r="H37" s="371">
        <f t="shared" si="5"/>
        <v>4.4962844107302793</v>
      </c>
      <c r="I37" s="155">
        <f>SUM(Table2B.1_AQ_NB91[[#This Row],[NOX]:[VOC]])</f>
        <v>11806.207310187337</v>
      </c>
    </row>
    <row r="38" spans="2:9">
      <c r="B38" s="134">
        <f>First_Year+'Q_Appendix B. Project Info'!B41</f>
        <v>2044</v>
      </c>
      <c r="C38" s="371">
        <f t="shared" si="0"/>
        <v>5.3518809312544953</v>
      </c>
      <c r="D38" s="371">
        <f t="shared" si="1"/>
        <v>7.2814633858113723E-2</v>
      </c>
      <c r="E38" s="371">
        <f t="shared" si="2"/>
        <v>0.39279575527295574</v>
      </c>
      <c r="F38" s="371">
        <f t="shared" si="3"/>
        <v>11786.087182516847</v>
      </c>
      <c r="G38" s="371">
        <f t="shared" si="4"/>
        <v>2.1007877409611524</v>
      </c>
      <c r="H38" s="371">
        <f t="shared" si="5"/>
        <v>4.4684538383383696</v>
      </c>
      <c r="I38" s="155">
        <f>SUM(Table2B.1_AQ_NB91[[#This Row],[NOX]:[VOC]])</f>
        <v>11798.473915416533</v>
      </c>
    </row>
    <row r="39" spans="2:9">
      <c r="B39" s="134">
        <f>First_Year+'Q_Appendix B. Project Info'!B42</f>
        <v>2045</v>
      </c>
      <c r="C39" s="371">
        <f t="shared" si="0"/>
        <v>5.2686013937462404</v>
      </c>
      <c r="D39" s="371">
        <f t="shared" si="1"/>
        <v>7.2750415362911547E-2</v>
      </c>
      <c r="E39" s="371">
        <f t="shared" si="2"/>
        <v>0.39036751054618257</v>
      </c>
      <c r="F39" s="371">
        <f t="shared" si="3"/>
        <v>11778.459985630981</v>
      </c>
      <c r="G39" s="371">
        <f t="shared" si="4"/>
        <v>2.1081924291431462</v>
      </c>
      <c r="H39" s="371">
        <f t="shared" si="5"/>
        <v>4.44062326594646</v>
      </c>
      <c r="I39" s="155">
        <f>SUM(Table2B.1_AQ_NB91[[#This Row],[NOX]:[VOC]])</f>
        <v>11790.740520645726</v>
      </c>
    </row>
    <row r="40" spans="2:9">
      <c r="B40" s="134">
        <f>First_Year+'Q_Appendix B. Project Info'!B43</f>
        <v>2046</v>
      </c>
      <c r="C40" s="371">
        <f t="shared" si="0"/>
        <v>5.1853218562379855</v>
      </c>
      <c r="D40" s="371">
        <f t="shared" si="1"/>
        <v>7.2686196867709371E-2</v>
      </c>
      <c r="E40" s="371">
        <f t="shared" si="2"/>
        <v>0.38793926581940941</v>
      </c>
      <c r="F40" s="371">
        <f t="shared" si="3"/>
        <v>11770.832788745116</v>
      </c>
      <c r="G40" s="371">
        <f t="shared" si="4"/>
        <v>2.11559711732514</v>
      </c>
      <c r="H40" s="371">
        <f t="shared" si="5"/>
        <v>4.4127926935545503</v>
      </c>
      <c r="I40" s="155">
        <f>SUM(Table2B.1_AQ_NB91[[#This Row],[NOX]:[VOC]])</f>
        <v>11783.007125874919</v>
      </c>
    </row>
    <row r="41" spans="2:9">
      <c r="B41" s="134">
        <f>First_Year+'Q_Appendix B. Project Info'!B44</f>
        <v>2047</v>
      </c>
      <c r="C41" s="371">
        <f t="shared" si="0"/>
        <v>5.1020423187297306</v>
      </c>
      <c r="D41" s="371">
        <f t="shared" si="1"/>
        <v>7.2621978372507195E-2</v>
      </c>
      <c r="E41" s="371">
        <f t="shared" si="2"/>
        <v>0.38551102109263624</v>
      </c>
      <c r="F41" s="371">
        <f t="shared" si="3"/>
        <v>11763.20559185925</v>
      </c>
      <c r="G41" s="371">
        <f t="shared" si="4"/>
        <v>2.1230018055071338</v>
      </c>
      <c r="H41" s="371">
        <f t="shared" si="5"/>
        <v>4.3849621211626406</v>
      </c>
      <c r="I41" s="155">
        <f>SUM(Table2B.1_AQ_NB91[[#This Row],[NOX]:[VOC]])</f>
        <v>11775.273731104115</v>
      </c>
    </row>
    <row r="42" spans="2:9">
      <c r="B42" s="134">
        <f>First_Year+'Q_Appendix B. Project Info'!B45</f>
        <v>2048</v>
      </c>
      <c r="C42" s="371">
        <f t="shared" si="0"/>
        <v>5.0187627812214757</v>
      </c>
      <c r="D42" s="371">
        <f t="shared" si="1"/>
        <v>7.255775987730502E-2</v>
      </c>
      <c r="E42" s="371">
        <f t="shared" si="2"/>
        <v>0.38308277636586308</v>
      </c>
      <c r="F42" s="371">
        <f t="shared" si="3"/>
        <v>11755.578394973385</v>
      </c>
      <c r="G42" s="371">
        <f t="shared" si="4"/>
        <v>2.1304064936891276</v>
      </c>
      <c r="H42" s="371">
        <f t="shared" si="5"/>
        <v>4.3571315487707309</v>
      </c>
      <c r="I42" s="155">
        <f>SUM(Table2B.1_AQ_NB91[[#This Row],[NOX]:[VOC]])</f>
        <v>11767.54033633331</v>
      </c>
    </row>
    <row r="43" spans="2:9">
      <c r="B43" s="134">
        <f>First_Year+'Q_Appendix B. Project Info'!B46</f>
        <v>2049</v>
      </c>
      <c r="C43" s="371">
        <f t="shared" si="0"/>
        <v>4.9354832437132208</v>
      </c>
      <c r="D43" s="371">
        <f t="shared" si="1"/>
        <v>7.2493541382102844E-2</v>
      </c>
      <c r="E43" s="371">
        <f t="shared" si="2"/>
        <v>0.38065453163908991</v>
      </c>
      <c r="F43" s="371">
        <f t="shared" si="3"/>
        <v>11747.95119808752</v>
      </c>
      <c r="G43" s="371">
        <f t="shared" si="4"/>
        <v>2.1378111818711214</v>
      </c>
      <c r="H43" s="371">
        <f t="shared" si="5"/>
        <v>4.3293009763788213</v>
      </c>
      <c r="I43" s="155">
        <f>SUM(Table2B.1_AQ_NB91[[#This Row],[NOX]:[VOC]])</f>
        <v>11759.806941562503</v>
      </c>
    </row>
    <row r="44" spans="2:9">
      <c r="B44" s="134">
        <f>First_Year+'Q_Appendix B. Project Info'!B47</f>
        <v>2050</v>
      </c>
      <c r="C44" s="371">
        <f t="shared" si="0"/>
        <v>4.8522037062049659</v>
      </c>
      <c r="D44" s="371">
        <f t="shared" si="1"/>
        <v>7.2429322886900668E-2</v>
      </c>
      <c r="E44" s="371">
        <f t="shared" si="2"/>
        <v>0.37822628691231674</v>
      </c>
      <c r="F44" s="371">
        <f t="shared" si="3"/>
        <v>11740.324001201654</v>
      </c>
      <c r="G44" s="371">
        <f t="shared" si="4"/>
        <v>2.1452158700531152</v>
      </c>
      <c r="H44" s="371">
        <f t="shared" si="5"/>
        <v>4.3014704039869116</v>
      </c>
      <c r="I44" s="155">
        <f>SUM(Table2B.1_AQ_NB91[[#This Row],[NOX]:[VOC]])</f>
        <v>11752.073546791698</v>
      </c>
    </row>
    <row r="45" spans="2:9">
      <c r="B45" s="134">
        <f>First_Year+'Q_Appendix B. Project Info'!B48</f>
        <v>2051</v>
      </c>
      <c r="C45" s="371">
        <f t="shared" si="0"/>
        <v>4.768924168696711</v>
      </c>
      <c r="D45" s="371">
        <f t="shared" si="1"/>
        <v>7.2365104391698493E-2</v>
      </c>
      <c r="E45" s="371">
        <f t="shared" si="2"/>
        <v>0.37579804218554358</v>
      </c>
      <c r="F45" s="371">
        <f t="shared" si="3"/>
        <v>11732.696804315789</v>
      </c>
      <c r="G45" s="371">
        <f t="shared" si="4"/>
        <v>2.152620558235109</v>
      </c>
      <c r="H45" s="371">
        <f t="shared" si="5"/>
        <v>4.2736398315950019</v>
      </c>
      <c r="I45" s="155">
        <f>SUM(Table2B.1_AQ_NB91[[#This Row],[NOX]:[VOC]])</f>
        <v>11744.340152020894</v>
      </c>
    </row>
    <row r="46" spans="2:9">
      <c r="B46" s="134">
        <f>First_Year+'Q_Appendix B. Project Info'!B49</f>
        <v>2052</v>
      </c>
      <c r="C46" s="371">
        <f t="shared" si="0"/>
        <v>4.6856446311884561</v>
      </c>
      <c r="D46" s="371">
        <f t="shared" si="1"/>
        <v>7.2300885896496317E-2</v>
      </c>
      <c r="E46" s="371">
        <f t="shared" si="2"/>
        <v>0.37336979745877041</v>
      </c>
      <c r="F46" s="371">
        <f t="shared" si="3"/>
        <v>11725.069607429923</v>
      </c>
      <c r="G46" s="371">
        <f t="shared" si="4"/>
        <v>2.1600252464171028</v>
      </c>
      <c r="H46" s="371">
        <f t="shared" si="5"/>
        <v>4.2458092592030923</v>
      </c>
      <c r="I46" s="155">
        <f>SUM(Table2B.1_AQ_NB91[[#This Row],[NOX]:[VOC]])</f>
        <v>11736.606757250087</v>
      </c>
    </row>
    <row r="47" spans="2:9">
      <c r="B47" s="134">
        <f>First_Year+'Q_Appendix B. Project Info'!B50</f>
        <v>2053</v>
      </c>
      <c r="C47" s="371">
        <f t="shared" si="0"/>
        <v>4.6023650936802012</v>
      </c>
      <c r="D47" s="371">
        <f t="shared" si="1"/>
        <v>7.2236667401294141E-2</v>
      </c>
      <c r="E47" s="371">
        <f t="shared" si="2"/>
        <v>0.37094155273199725</v>
      </c>
      <c r="F47" s="371">
        <f t="shared" si="3"/>
        <v>11717.442410544058</v>
      </c>
      <c r="G47" s="371">
        <f t="shared" si="4"/>
        <v>2.1674299345990966</v>
      </c>
      <c r="H47" s="371">
        <f t="shared" si="5"/>
        <v>4.2179786868111826</v>
      </c>
      <c r="I47" s="155">
        <f>SUM(Table2B.1_AQ_NB91[[#This Row],[NOX]:[VOC]])</f>
        <v>11728.873362479282</v>
      </c>
    </row>
    <row r="48" spans="2:9">
      <c r="B48" s="134">
        <f>First_Year+'Q_Appendix B. Project Info'!B51</f>
        <v>2054</v>
      </c>
      <c r="C48" s="371">
        <f t="shared" si="0"/>
        <v>4.5190855561719463</v>
      </c>
      <c r="D48" s="371">
        <f t="shared" si="1"/>
        <v>7.2172448906091966E-2</v>
      </c>
      <c r="E48" s="371">
        <f t="shared" si="2"/>
        <v>0.36851330800522408</v>
      </c>
      <c r="F48" s="371">
        <f t="shared" si="3"/>
        <v>11709.815213658192</v>
      </c>
      <c r="G48" s="371">
        <f t="shared" si="4"/>
        <v>2.1748346227810904</v>
      </c>
      <c r="H48" s="371">
        <f t="shared" si="5"/>
        <v>4.1901481144192729</v>
      </c>
      <c r="I48" s="155">
        <f>SUM(Table2B.1_AQ_NB91[[#This Row],[NOX]:[VOC]])</f>
        <v>11721.139967708476</v>
      </c>
    </row>
    <row r="49" spans="2:9">
      <c r="B49" s="134">
        <f>First_Year+'Q_Appendix B. Project Info'!B52</f>
        <v>2055</v>
      </c>
      <c r="C49" s="371">
        <f t="shared" si="0"/>
        <v>4.4358060186636914</v>
      </c>
      <c r="D49" s="371">
        <f t="shared" si="1"/>
        <v>7.210823041088979E-2</v>
      </c>
      <c r="E49" s="371">
        <f t="shared" si="2"/>
        <v>0.36608506327845092</v>
      </c>
      <c r="F49" s="371">
        <f t="shared" si="3"/>
        <v>11702.188016772327</v>
      </c>
      <c r="G49" s="371">
        <f t="shared" si="4"/>
        <v>2.1822393109630842</v>
      </c>
      <c r="H49" s="371">
        <f t="shared" si="5"/>
        <v>4.1623175420273633</v>
      </c>
      <c r="I49" s="155">
        <f>SUM(Table2B.1_AQ_NB91[[#This Row],[NOX]:[VOC]])</f>
        <v>11713.406572937671</v>
      </c>
    </row>
    <row r="50" spans="2:9">
      <c r="B50" s="134">
        <f>First_Year+'Q_Appendix B. Project Info'!B53</f>
        <v>2056</v>
      </c>
      <c r="C50" s="371">
        <f t="shared" si="0"/>
        <v>4.3525264811554365</v>
      </c>
      <c r="D50" s="371">
        <f t="shared" si="1"/>
        <v>7.2044011915687614E-2</v>
      </c>
      <c r="E50" s="371">
        <f t="shared" si="2"/>
        <v>0.36365681855167775</v>
      </c>
      <c r="F50" s="371">
        <f t="shared" si="3"/>
        <v>11694.560819886461</v>
      </c>
      <c r="G50" s="371">
        <f t="shared" si="4"/>
        <v>2.189643999145078</v>
      </c>
      <c r="H50" s="371">
        <f t="shared" si="5"/>
        <v>4.1344869696354536</v>
      </c>
      <c r="I50" s="155">
        <f>SUM(Table2B.1_AQ_NB91[[#This Row],[NOX]:[VOC]])</f>
        <v>11705.673178166864</v>
      </c>
    </row>
    <row r="51" spans="2:9">
      <c r="B51" s="134">
        <f>First_Year+'Q_Appendix B. Project Info'!B54</f>
        <v>2057</v>
      </c>
      <c r="C51" s="371">
        <f t="shared" si="0"/>
        <v>4.2692469436471816</v>
      </c>
      <c r="D51" s="371">
        <f t="shared" si="1"/>
        <v>7.1979793420485438E-2</v>
      </c>
      <c r="E51" s="371">
        <f t="shared" si="2"/>
        <v>0.36122857382490459</v>
      </c>
      <c r="F51" s="371">
        <f t="shared" si="3"/>
        <v>11686.933623000596</v>
      </c>
      <c r="G51" s="371">
        <f t="shared" si="4"/>
        <v>2.1970486873270718</v>
      </c>
      <c r="H51" s="371">
        <f t="shared" si="5"/>
        <v>4.1066563972435439</v>
      </c>
      <c r="I51" s="155">
        <f>SUM(Table2B.1_AQ_NB91[[#This Row],[NOX]:[VOC]])</f>
        <v>11697.939783396059</v>
      </c>
    </row>
    <row r="52" spans="2:9">
      <c r="B52" s="134">
        <f>First_Year+'Q_Appendix B. Project Info'!B55</f>
        <v>2058</v>
      </c>
      <c r="C52" s="203">
        <f>4.61084309786204/1.1015</f>
        <v>4.1859674061389383</v>
      </c>
      <c r="D52" s="203">
        <f>0.0792150057801996/1.1015</f>
        <v>7.1915574925283346E-2</v>
      </c>
      <c r="E52" s="203">
        <f>0.395218562501592/1.1015</f>
        <v>0.35880032909813164</v>
      </c>
      <c r="F52" s="203">
        <f>12864.7560283654/1.1015</f>
        <v>11679.306426114754</v>
      </c>
      <c r="G52" s="203">
        <f>2.42820539312324/1.1015</f>
        <v>2.2044533755090696</v>
      </c>
      <c r="H52" s="203">
        <f>4.49282664607407/1.1015</f>
        <v>4.0788258248516298</v>
      </c>
      <c r="I52" s="155">
        <f>SUM(Table2B.1_AQ_NB91[[#This Row],[NOX]:[VOC]])</f>
        <v>11690.206388625276</v>
      </c>
    </row>
    <row r="53" spans="2:9">
      <c r="B53" s="134" t="s">
        <v>28</v>
      </c>
      <c r="C53" s="201">
        <f>SUBTOTAL(109,Table2B.1_AQ_NB91[NOX])</f>
        <v>168.48997453164526</v>
      </c>
      <c r="D53" s="201">
        <f>SUBTOTAL(109,Table2B.1_AQ_NB91[SOx])</f>
        <v>2.2592444229527935</v>
      </c>
      <c r="E53" s="201">
        <f>SUBTOTAL(109,Table2B.1_AQ_NB91[PM2.5])</f>
        <v>12.2519439999916</v>
      </c>
      <c r="F53" s="201">
        <f>SUBTOTAL(109,Table2B.1_AQ_NB91[CO2])</f>
        <v>365605.14576148405</v>
      </c>
      <c r="G53" s="201">
        <f>SUBTOTAL(109,Table2B.1_AQ_NB91[PM10])</f>
        <v>64.894874636153929</v>
      </c>
      <c r="H53" s="201">
        <f>SUBTOTAL(109,Table2B.1_AQ_NB91[VOC])</f>
        <v>139.38481673263868</v>
      </c>
      <c r="I53" s="202">
        <f>SUBTOTAL(109,Table2B.1_AQ_NB91[Total])</f>
        <v>365992.42661580752</v>
      </c>
    </row>
    <row r="55" spans="2:9">
      <c r="B55" s="63" t="s">
        <v>142</v>
      </c>
    </row>
    <row r="57" spans="2:9">
      <c r="B57" s="133" t="s">
        <v>21</v>
      </c>
      <c r="C57" s="145" t="s">
        <v>130</v>
      </c>
      <c r="D57" s="145" t="s">
        <v>122</v>
      </c>
      <c r="E57" s="145" t="s">
        <v>131</v>
      </c>
      <c r="F57" s="145" t="s">
        <v>132</v>
      </c>
      <c r="G57" s="145" t="s">
        <v>133</v>
      </c>
      <c r="H57" s="145" t="s">
        <v>126</v>
      </c>
      <c r="I57" s="145" t="s">
        <v>28</v>
      </c>
    </row>
    <row r="58" spans="2:9">
      <c r="B58" s="134">
        <f>First_Year+'Q_Appendix B. Project Info'!B20</f>
        <v>2023</v>
      </c>
      <c r="C58" s="203"/>
      <c r="D58" s="203"/>
      <c r="E58" s="203"/>
      <c r="F58" s="203"/>
      <c r="G58" s="203"/>
      <c r="H58" s="203"/>
      <c r="I58" s="155">
        <f>SUM(Table2B.2_AQ_PA90[[#This Row],[NOX]:[VOC]])</f>
        <v>0</v>
      </c>
    </row>
    <row r="59" spans="2:9">
      <c r="B59" s="134">
        <f>First_Year+'Q_Appendix B. Project Info'!B21</f>
        <v>2024</v>
      </c>
      <c r="C59" s="203"/>
      <c r="D59" s="203"/>
      <c r="E59" s="203"/>
      <c r="F59" s="203"/>
      <c r="G59" s="203"/>
      <c r="H59" s="203"/>
      <c r="I59" s="155">
        <f>SUM(Table2B.2_AQ_PA90[[#This Row],[NOX]:[VOC]])</f>
        <v>0</v>
      </c>
    </row>
    <row r="60" spans="2:9">
      <c r="B60" s="134">
        <f>First_Year+'Q_Appendix B. Project Info'!B22</f>
        <v>2025</v>
      </c>
      <c r="C60" s="203"/>
      <c r="D60" s="203"/>
      <c r="E60" s="203"/>
      <c r="F60" s="203"/>
      <c r="G60" s="203"/>
      <c r="H60" s="203"/>
      <c r="I60" s="155">
        <f>SUM(Table2B.2_AQ_PA90[[#This Row],[NOX]:[VOC]])</f>
        <v>0</v>
      </c>
    </row>
    <row r="61" spans="2:9">
      <c r="B61" s="134">
        <f>First_Year+'Q_Appendix B. Project Info'!B23</f>
        <v>2026</v>
      </c>
      <c r="C61" s="203"/>
      <c r="D61" s="203"/>
      <c r="E61" s="203"/>
      <c r="F61" s="203"/>
      <c r="G61" s="203"/>
      <c r="H61" s="203"/>
      <c r="I61" s="155">
        <f>SUM(Table2B.2_AQ_PA90[[#This Row],[NOX]:[VOC]])</f>
        <v>0</v>
      </c>
    </row>
    <row r="62" spans="2:9">
      <c r="B62" s="134">
        <f>First_Year+'Q_Appendix B. Project Info'!B24</f>
        <v>2027</v>
      </c>
      <c r="C62" s="203"/>
      <c r="D62" s="203"/>
      <c r="E62" s="203"/>
      <c r="F62" s="203"/>
      <c r="G62" s="203"/>
      <c r="H62" s="203"/>
      <c r="I62" s="155">
        <f>SUM(Table2B.2_AQ_PA90[[#This Row],[NOX]:[VOC]])</f>
        <v>0</v>
      </c>
    </row>
    <row r="63" spans="2:9">
      <c r="B63" s="134">
        <f>First_Year+'Q_Appendix B. Project Info'!B25</f>
        <v>2028</v>
      </c>
      <c r="C63" s="203">
        <f>7.01058589034186/1.1015</f>
        <v>6.364580926320345</v>
      </c>
      <c r="D63" s="203">
        <f>0.081533655783907/1.1015</f>
        <v>7.4020568119752161E-2</v>
      </c>
      <c r="E63" s="203">
        <f>0.419098530686296/1.1015</f>
        <v>0.38047982813099956</v>
      </c>
      <c r="F63" s="203">
        <f>13084.0211287831/1.1015</f>
        <v>11878.366889498957</v>
      </c>
      <c r="G63" s="203">
        <f>1.86134835994498/1.1015</f>
        <v>1.6898305582796007</v>
      </c>
      <c r="H63" s="203">
        <f>5.32296331195921/1.1015</f>
        <v>4.8324678274709125</v>
      </c>
      <c r="I63" s="155">
        <f>SUM(Table2B.2_AQ_PA90[[#This Row],[NOX]:[VOC]])</f>
        <v>11891.70826920728</v>
      </c>
    </row>
    <row r="64" spans="2:9">
      <c r="B64" s="134">
        <f>First_Year+'Q_Appendix B. Project Info'!B26</f>
        <v>2029</v>
      </c>
      <c r="C64" s="371">
        <f t="shared" ref="C64:C92" si="6">C63+((C$93-C$63)/30)</f>
        <v>6.2798289191243093</v>
      </c>
      <c r="D64" s="371">
        <f t="shared" ref="D64:D92" si="7">D63+((D$93-D$63)/30)</f>
        <v>7.3986418674812718E-2</v>
      </c>
      <c r="E64" s="371">
        <f t="shared" ref="E64:E92" si="8">E63+((E$93-E$63)/30)</f>
        <v>0.37853241936804</v>
      </c>
      <c r="F64" s="371">
        <f t="shared" ref="F64:F92" si="9">F63+((F$93-F$63)/30)</f>
        <v>11875.498841753864</v>
      </c>
      <c r="G64" s="371">
        <f t="shared" ref="G64:G92" si="10">G63+((G$93-G$63)/30)</f>
        <v>1.6971295783073395</v>
      </c>
      <c r="H64" s="371">
        <f t="shared" ref="H64:H92" si="11">H63+((H$93-H$63)/30)</f>
        <v>4.8070770634658331</v>
      </c>
      <c r="I64" s="155">
        <f>SUM(Table2B.2_AQ_PA90[[#This Row],[NOX]:[VOC]])</f>
        <v>11888.735396152804</v>
      </c>
    </row>
    <row r="65" spans="2:9">
      <c r="B65" s="134">
        <f>First_Year+'Q_Appendix B. Project Info'!B27</f>
        <v>2030</v>
      </c>
      <c r="C65" s="371">
        <f t="shared" si="6"/>
        <v>6.1950769119282736</v>
      </c>
      <c r="D65" s="371">
        <f t="shared" si="7"/>
        <v>7.3952269229873274E-2</v>
      </c>
      <c r="E65" s="371">
        <f t="shared" si="8"/>
        <v>0.37658501060508043</v>
      </c>
      <c r="F65" s="371">
        <f t="shared" si="9"/>
        <v>11872.630794008772</v>
      </c>
      <c r="G65" s="371">
        <f t="shared" si="10"/>
        <v>1.7044285983350782</v>
      </c>
      <c r="H65" s="371">
        <f t="shared" si="11"/>
        <v>4.7816862994607536</v>
      </c>
      <c r="I65" s="155">
        <f>SUM(Table2B.2_AQ_PA90[[#This Row],[NOX]:[VOC]])</f>
        <v>11885.76252309833</v>
      </c>
    </row>
    <row r="66" spans="2:9">
      <c r="B66" s="134">
        <f>First_Year+'Q_Appendix B. Project Info'!B28</f>
        <v>2031</v>
      </c>
      <c r="C66" s="371">
        <f t="shared" si="6"/>
        <v>6.1103249047322379</v>
      </c>
      <c r="D66" s="371">
        <f t="shared" si="7"/>
        <v>7.3918119784933831E-2</v>
      </c>
      <c r="E66" s="371">
        <f t="shared" si="8"/>
        <v>0.37463760184212086</v>
      </c>
      <c r="F66" s="371">
        <f t="shared" si="9"/>
        <v>11869.762746263679</v>
      </c>
      <c r="G66" s="371">
        <f t="shared" si="10"/>
        <v>1.7117276183628169</v>
      </c>
      <c r="H66" s="371">
        <f t="shared" si="11"/>
        <v>4.7562955354556742</v>
      </c>
      <c r="I66" s="155">
        <f>SUM(Table2B.2_AQ_PA90[[#This Row],[NOX]:[VOC]])</f>
        <v>11882.789650043856</v>
      </c>
    </row>
    <row r="67" spans="2:9">
      <c r="B67" s="134">
        <f>First_Year+'Q_Appendix B. Project Info'!B29</f>
        <v>2032</v>
      </c>
      <c r="C67" s="371">
        <f t="shared" si="6"/>
        <v>6.0255728975362022</v>
      </c>
      <c r="D67" s="371">
        <f t="shared" si="7"/>
        <v>7.3883970339994387E-2</v>
      </c>
      <c r="E67" s="371">
        <f t="shared" si="8"/>
        <v>0.37269019307916129</v>
      </c>
      <c r="F67" s="371">
        <f t="shared" si="9"/>
        <v>11866.894698518587</v>
      </c>
      <c r="G67" s="371">
        <f t="shared" si="10"/>
        <v>1.7190266383905557</v>
      </c>
      <c r="H67" s="371">
        <f t="shared" si="11"/>
        <v>4.7309047714505947</v>
      </c>
      <c r="I67" s="155">
        <f>SUM(Table2B.2_AQ_PA90[[#This Row],[NOX]:[VOC]])</f>
        <v>11879.816776989383</v>
      </c>
    </row>
    <row r="68" spans="2:9">
      <c r="B68" s="134">
        <f>First_Year+'Q_Appendix B. Project Info'!B30</f>
        <v>2033</v>
      </c>
      <c r="C68" s="371">
        <f t="shared" si="6"/>
        <v>5.9408208903401665</v>
      </c>
      <c r="D68" s="371">
        <f t="shared" si="7"/>
        <v>7.3849820895054943E-2</v>
      </c>
      <c r="E68" s="371">
        <f t="shared" si="8"/>
        <v>0.37074278431620172</v>
      </c>
      <c r="F68" s="371">
        <f t="shared" si="9"/>
        <v>11864.026650773494</v>
      </c>
      <c r="G68" s="371">
        <f t="shared" si="10"/>
        <v>1.7263256584182944</v>
      </c>
      <c r="H68" s="371">
        <f t="shared" si="11"/>
        <v>4.7055140074455153</v>
      </c>
      <c r="I68" s="155">
        <f>SUM(Table2B.2_AQ_PA90[[#This Row],[NOX]:[VOC]])</f>
        <v>11876.843903934909</v>
      </c>
    </row>
    <row r="69" spans="2:9">
      <c r="B69" s="134">
        <f>First_Year+'Q_Appendix B. Project Info'!B31</f>
        <v>2034</v>
      </c>
      <c r="C69" s="371">
        <f t="shared" si="6"/>
        <v>5.8560688831441308</v>
      </c>
      <c r="D69" s="371">
        <f t="shared" si="7"/>
        <v>7.38156714501155E-2</v>
      </c>
      <c r="E69" s="371">
        <f t="shared" si="8"/>
        <v>0.36879537555324216</v>
      </c>
      <c r="F69" s="371">
        <f t="shared" si="9"/>
        <v>11861.158603028402</v>
      </c>
      <c r="G69" s="371">
        <f t="shared" si="10"/>
        <v>1.7336246784460332</v>
      </c>
      <c r="H69" s="371">
        <f t="shared" si="11"/>
        <v>4.6801232434404358</v>
      </c>
      <c r="I69" s="155">
        <f>SUM(Table2B.2_AQ_PA90[[#This Row],[NOX]:[VOC]])</f>
        <v>11873.871030880435</v>
      </c>
    </row>
    <row r="70" spans="2:9">
      <c r="B70" s="134">
        <f>First_Year+'Q_Appendix B. Project Info'!B32</f>
        <v>2035</v>
      </c>
      <c r="C70" s="371">
        <f t="shared" si="6"/>
        <v>5.7713168759480951</v>
      </c>
      <c r="D70" s="371">
        <f t="shared" si="7"/>
        <v>7.3781522005176056E-2</v>
      </c>
      <c r="E70" s="371">
        <f t="shared" si="8"/>
        <v>0.36684796679028259</v>
      </c>
      <c r="F70" s="371">
        <f t="shared" si="9"/>
        <v>11858.290555283309</v>
      </c>
      <c r="G70" s="371">
        <f t="shared" si="10"/>
        <v>1.7409236984737719</v>
      </c>
      <c r="H70" s="371">
        <f t="shared" si="11"/>
        <v>4.6547324794353564</v>
      </c>
      <c r="I70" s="155">
        <f>SUM(Table2B.2_AQ_PA90[[#This Row],[NOX]:[VOC]])</f>
        <v>11870.898157825961</v>
      </c>
    </row>
    <row r="71" spans="2:9">
      <c r="B71" s="134">
        <f>First_Year+'Q_Appendix B. Project Info'!B33</f>
        <v>2036</v>
      </c>
      <c r="C71" s="371">
        <f t="shared" si="6"/>
        <v>5.6865648687520594</v>
      </c>
      <c r="D71" s="371">
        <f t="shared" si="7"/>
        <v>7.3747372560236613E-2</v>
      </c>
      <c r="E71" s="371">
        <f t="shared" si="8"/>
        <v>0.36490055802732302</v>
      </c>
      <c r="F71" s="371">
        <f t="shared" si="9"/>
        <v>11855.422507538216</v>
      </c>
      <c r="G71" s="371">
        <f t="shared" si="10"/>
        <v>1.7482227185015107</v>
      </c>
      <c r="H71" s="371">
        <f t="shared" si="11"/>
        <v>4.6293417154302769</v>
      </c>
      <c r="I71" s="155">
        <f>SUM(Table2B.2_AQ_PA90[[#This Row],[NOX]:[VOC]])</f>
        <v>11867.925284771487</v>
      </c>
    </row>
    <row r="72" spans="2:9">
      <c r="B72" s="134">
        <f>First_Year+'Q_Appendix B. Project Info'!B34</f>
        <v>2037</v>
      </c>
      <c r="C72" s="371">
        <f t="shared" si="6"/>
        <v>5.6018128615560236</v>
      </c>
      <c r="D72" s="371">
        <f t="shared" si="7"/>
        <v>7.3713223115297169E-2</v>
      </c>
      <c r="E72" s="371">
        <f t="shared" si="8"/>
        <v>0.36295314926436345</v>
      </c>
      <c r="F72" s="371">
        <f t="shared" si="9"/>
        <v>11852.554459793124</v>
      </c>
      <c r="G72" s="371">
        <f t="shared" si="10"/>
        <v>1.7555217385292494</v>
      </c>
      <c r="H72" s="371">
        <f t="shared" si="11"/>
        <v>4.6039509514251975</v>
      </c>
      <c r="I72" s="155">
        <f>SUM(Table2B.2_AQ_PA90[[#This Row],[NOX]:[VOC]])</f>
        <v>11864.952411717013</v>
      </c>
    </row>
    <row r="73" spans="2:9">
      <c r="B73" s="134">
        <f>First_Year+'Q_Appendix B. Project Info'!B35</f>
        <v>2038</v>
      </c>
      <c r="C73" s="371">
        <f t="shared" si="6"/>
        <v>5.5170608543599879</v>
      </c>
      <c r="D73" s="371">
        <f t="shared" si="7"/>
        <v>7.3679073670357725E-2</v>
      </c>
      <c r="E73" s="371">
        <f t="shared" si="8"/>
        <v>0.36100574050140388</v>
      </c>
      <c r="F73" s="371">
        <f t="shared" si="9"/>
        <v>11849.686412048031</v>
      </c>
      <c r="G73" s="371">
        <f t="shared" si="10"/>
        <v>1.7628207585569882</v>
      </c>
      <c r="H73" s="371">
        <f t="shared" si="11"/>
        <v>4.5785601874201181</v>
      </c>
      <c r="I73" s="155">
        <f>SUM(Table2B.2_AQ_PA90[[#This Row],[NOX]:[VOC]])</f>
        <v>11861.979538662539</v>
      </c>
    </row>
    <row r="74" spans="2:9">
      <c r="B74" s="134">
        <f>First_Year+'Q_Appendix B. Project Info'!B36</f>
        <v>2039</v>
      </c>
      <c r="C74" s="371">
        <f t="shared" si="6"/>
        <v>5.4323088471639522</v>
      </c>
      <c r="D74" s="371">
        <f t="shared" si="7"/>
        <v>7.3644924225418282E-2</v>
      </c>
      <c r="E74" s="371">
        <f t="shared" si="8"/>
        <v>0.35905833173844431</v>
      </c>
      <c r="F74" s="371">
        <f t="shared" si="9"/>
        <v>11846.818364302939</v>
      </c>
      <c r="G74" s="371">
        <f t="shared" si="10"/>
        <v>1.7701197785847269</v>
      </c>
      <c r="H74" s="371">
        <f t="shared" si="11"/>
        <v>4.5531694234150386</v>
      </c>
      <c r="I74" s="155">
        <f>SUM(Table2B.2_AQ_PA90[[#This Row],[NOX]:[VOC]])</f>
        <v>11859.006665608065</v>
      </c>
    </row>
    <row r="75" spans="2:9">
      <c r="B75" s="134">
        <f>First_Year+'Q_Appendix B. Project Info'!B37</f>
        <v>2040</v>
      </c>
      <c r="C75" s="371">
        <f t="shared" si="6"/>
        <v>5.3475568399679165</v>
      </c>
      <c r="D75" s="371">
        <f t="shared" si="7"/>
        <v>7.3610774780478838E-2</v>
      </c>
      <c r="E75" s="371">
        <f t="shared" si="8"/>
        <v>0.35711092297548475</v>
      </c>
      <c r="F75" s="371">
        <f t="shared" si="9"/>
        <v>11843.950316557846</v>
      </c>
      <c r="G75" s="371">
        <f t="shared" si="10"/>
        <v>1.7774187986124657</v>
      </c>
      <c r="H75" s="371">
        <f t="shared" si="11"/>
        <v>4.5277786594099592</v>
      </c>
      <c r="I75" s="155">
        <f>SUM(Table2B.2_AQ_PA90[[#This Row],[NOX]:[VOC]])</f>
        <v>11856.033792553593</v>
      </c>
    </row>
    <row r="76" spans="2:9">
      <c r="B76" s="134">
        <f>First_Year+'Q_Appendix B. Project Info'!B38</f>
        <v>2041</v>
      </c>
      <c r="C76" s="371">
        <f t="shared" si="6"/>
        <v>5.2628048327718808</v>
      </c>
      <c r="D76" s="371">
        <f t="shared" si="7"/>
        <v>7.3576625335539395E-2</v>
      </c>
      <c r="E76" s="371">
        <f t="shared" si="8"/>
        <v>0.35516351421252518</v>
      </c>
      <c r="F76" s="371">
        <f t="shared" si="9"/>
        <v>11841.082268812754</v>
      </c>
      <c r="G76" s="371">
        <f t="shared" si="10"/>
        <v>1.7847178186402044</v>
      </c>
      <c r="H76" s="371">
        <f t="shared" si="11"/>
        <v>4.5023878954048797</v>
      </c>
      <c r="I76" s="155">
        <f>SUM(Table2B.2_AQ_PA90[[#This Row],[NOX]:[VOC]])</f>
        <v>11853.060919499119</v>
      </c>
    </row>
    <row r="77" spans="2:9">
      <c r="B77" s="134">
        <f>First_Year+'Q_Appendix B. Project Info'!B39</f>
        <v>2042</v>
      </c>
      <c r="C77" s="371">
        <f t="shared" si="6"/>
        <v>5.1780528255758451</v>
      </c>
      <c r="D77" s="371">
        <f t="shared" si="7"/>
        <v>7.3542475890599951E-2</v>
      </c>
      <c r="E77" s="371">
        <f t="shared" si="8"/>
        <v>0.35321610544956561</v>
      </c>
      <c r="F77" s="371">
        <f t="shared" si="9"/>
        <v>11838.214221067661</v>
      </c>
      <c r="G77" s="371">
        <f t="shared" si="10"/>
        <v>1.7920168386679431</v>
      </c>
      <c r="H77" s="371">
        <f t="shared" si="11"/>
        <v>4.4769971313998003</v>
      </c>
      <c r="I77" s="155">
        <f>SUM(Table2B.2_AQ_PA90[[#This Row],[NOX]:[VOC]])</f>
        <v>11850.088046444645</v>
      </c>
    </row>
    <row r="78" spans="2:9">
      <c r="B78" s="134">
        <f>First_Year+'Q_Appendix B. Project Info'!B40</f>
        <v>2043</v>
      </c>
      <c r="C78" s="371">
        <f t="shared" si="6"/>
        <v>5.0933008183798094</v>
      </c>
      <c r="D78" s="371">
        <f t="shared" si="7"/>
        <v>7.3508326445660507E-2</v>
      </c>
      <c r="E78" s="371">
        <f t="shared" si="8"/>
        <v>0.35126869668660604</v>
      </c>
      <c r="F78" s="371">
        <f t="shared" si="9"/>
        <v>11835.346173322569</v>
      </c>
      <c r="G78" s="371">
        <f t="shared" si="10"/>
        <v>1.7993158586956819</v>
      </c>
      <c r="H78" s="371">
        <f t="shared" si="11"/>
        <v>4.4516063673947208</v>
      </c>
      <c r="I78" s="155">
        <f>SUM(Table2B.2_AQ_PA90[[#This Row],[NOX]:[VOC]])</f>
        <v>11847.115173390172</v>
      </c>
    </row>
    <row r="79" spans="2:9">
      <c r="B79" s="134">
        <f>First_Year+'Q_Appendix B. Project Info'!B41</f>
        <v>2044</v>
      </c>
      <c r="C79" s="371">
        <f t="shared" si="6"/>
        <v>5.0085488111837737</v>
      </c>
      <c r="D79" s="371">
        <f t="shared" si="7"/>
        <v>7.3474177000721064E-2</v>
      </c>
      <c r="E79" s="371">
        <f t="shared" si="8"/>
        <v>0.34932128792364647</v>
      </c>
      <c r="F79" s="371">
        <f t="shared" si="9"/>
        <v>11832.478125577476</v>
      </c>
      <c r="G79" s="371">
        <f t="shared" si="10"/>
        <v>1.8066148787234206</v>
      </c>
      <c r="H79" s="371">
        <f t="shared" si="11"/>
        <v>4.4262156033896414</v>
      </c>
      <c r="I79" s="155">
        <f>SUM(Table2B.2_AQ_PA90[[#This Row],[NOX]:[VOC]])</f>
        <v>11844.142300335698</v>
      </c>
    </row>
    <row r="80" spans="2:9">
      <c r="B80" s="134">
        <f>First_Year+'Q_Appendix B. Project Info'!B42</f>
        <v>2045</v>
      </c>
      <c r="C80" s="371">
        <f t="shared" si="6"/>
        <v>4.923796803987738</v>
      </c>
      <c r="D80" s="371">
        <f t="shared" si="7"/>
        <v>7.344002755578162E-2</v>
      </c>
      <c r="E80" s="371">
        <f t="shared" si="8"/>
        <v>0.3473738791606869</v>
      </c>
      <c r="F80" s="371">
        <f t="shared" si="9"/>
        <v>11829.610077832383</v>
      </c>
      <c r="G80" s="371">
        <f t="shared" si="10"/>
        <v>1.8139138987511594</v>
      </c>
      <c r="H80" s="371">
        <f t="shared" si="11"/>
        <v>4.4008248393845619</v>
      </c>
      <c r="I80" s="155">
        <f>SUM(Table2B.2_AQ_PA90[[#This Row],[NOX]:[VOC]])</f>
        <v>11841.169427281224</v>
      </c>
    </row>
    <row r="81" spans="2:9">
      <c r="B81" s="134">
        <f>First_Year+'Q_Appendix B. Project Info'!B43</f>
        <v>2046</v>
      </c>
      <c r="C81" s="371">
        <f t="shared" si="6"/>
        <v>4.8390447967917023</v>
      </c>
      <c r="D81" s="371">
        <f t="shared" si="7"/>
        <v>7.3405878110842177E-2</v>
      </c>
      <c r="E81" s="371">
        <f t="shared" si="8"/>
        <v>0.34542647039772734</v>
      </c>
      <c r="F81" s="371">
        <f t="shared" si="9"/>
        <v>11826.742030087291</v>
      </c>
      <c r="G81" s="371">
        <f t="shared" si="10"/>
        <v>1.8212129187788981</v>
      </c>
      <c r="H81" s="371">
        <f t="shared" si="11"/>
        <v>4.3754340753794825</v>
      </c>
      <c r="I81" s="155">
        <f>SUM(Table2B.2_AQ_PA90[[#This Row],[NOX]:[VOC]])</f>
        <v>11838.196554226752</v>
      </c>
    </row>
    <row r="82" spans="2:9">
      <c r="B82" s="134">
        <f>First_Year+'Q_Appendix B. Project Info'!B44</f>
        <v>2047</v>
      </c>
      <c r="C82" s="371">
        <f t="shared" si="6"/>
        <v>4.7542927895956666</v>
      </c>
      <c r="D82" s="371">
        <f t="shared" si="7"/>
        <v>7.3371728665902733E-2</v>
      </c>
      <c r="E82" s="371">
        <f t="shared" si="8"/>
        <v>0.34347906163476777</v>
      </c>
      <c r="F82" s="371">
        <f t="shared" si="9"/>
        <v>11823.873982342198</v>
      </c>
      <c r="G82" s="371">
        <f t="shared" si="10"/>
        <v>1.8285119388066369</v>
      </c>
      <c r="H82" s="371">
        <f t="shared" si="11"/>
        <v>4.350043311374403</v>
      </c>
      <c r="I82" s="155">
        <f>SUM(Table2B.2_AQ_PA90[[#This Row],[NOX]:[VOC]])</f>
        <v>11835.223681172278</v>
      </c>
    </row>
    <row r="83" spans="2:9">
      <c r="B83" s="134">
        <f>First_Year+'Q_Appendix B. Project Info'!B45</f>
        <v>2048</v>
      </c>
      <c r="C83" s="371">
        <f t="shared" si="6"/>
        <v>4.6695407823996309</v>
      </c>
      <c r="D83" s="371">
        <f t="shared" si="7"/>
        <v>7.3337579220963289E-2</v>
      </c>
      <c r="E83" s="371">
        <f t="shared" si="8"/>
        <v>0.3415316528718082</v>
      </c>
      <c r="F83" s="371">
        <f t="shared" si="9"/>
        <v>11821.005934597106</v>
      </c>
      <c r="G83" s="371">
        <f t="shared" si="10"/>
        <v>1.8358109588343756</v>
      </c>
      <c r="H83" s="371">
        <f t="shared" si="11"/>
        <v>4.3246525473693236</v>
      </c>
      <c r="I83" s="155">
        <f>SUM(Table2B.2_AQ_PA90[[#This Row],[NOX]:[VOC]])</f>
        <v>11832.250808117804</v>
      </c>
    </row>
    <row r="84" spans="2:9">
      <c r="B84" s="134">
        <f>First_Year+'Q_Appendix B. Project Info'!B46</f>
        <v>2049</v>
      </c>
      <c r="C84" s="371">
        <f t="shared" si="6"/>
        <v>4.5847887752035952</v>
      </c>
      <c r="D84" s="371">
        <f t="shared" si="7"/>
        <v>7.3303429776023846E-2</v>
      </c>
      <c r="E84" s="371">
        <f t="shared" si="8"/>
        <v>0.33958424410884863</v>
      </c>
      <c r="F84" s="371">
        <f t="shared" si="9"/>
        <v>11818.137886852013</v>
      </c>
      <c r="G84" s="371">
        <f t="shared" si="10"/>
        <v>1.8431099788621144</v>
      </c>
      <c r="H84" s="371">
        <f t="shared" si="11"/>
        <v>4.2992617833642441</v>
      </c>
      <c r="I84" s="155">
        <f>SUM(Table2B.2_AQ_PA90[[#This Row],[NOX]:[VOC]])</f>
        <v>11829.277935063328</v>
      </c>
    </row>
    <row r="85" spans="2:9">
      <c r="B85" s="134">
        <f>First_Year+'Q_Appendix B. Project Info'!B47</f>
        <v>2050</v>
      </c>
      <c r="C85" s="371">
        <f t="shared" si="6"/>
        <v>4.5000367680075595</v>
      </c>
      <c r="D85" s="371">
        <f t="shared" si="7"/>
        <v>7.3269280331084402E-2</v>
      </c>
      <c r="E85" s="371">
        <f t="shared" si="8"/>
        <v>0.33763683534588906</v>
      </c>
      <c r="F85" s="371">
        <f t="shared" si="9"/>
        <v>11815.269839106921</v>
      </c>
      <c r="G85" s="371">
        <f t="shared" si="10"/>
        <v>1.8504089988898531</v>
      </c>
      <c r="H85" s="371">
        <f t="shared" si="11"/>
        <v>4.2738710193591647</v>
      </c>
      <c r="I85" s="155">
        <f>SUM(Table2B.2_AQ_PA90[[#This Row],[NOX]:[VOC]])</f>
        <v>11826.305062008852</v>
      </c>
    </row>
    <row r="86" spans="2:9">
      <c r="B86" s="134">
        <f>First_Year+'Q_Appendix B. Project Info'!B48</f>
        <v>2051</v>
      </c>
      <c r="C86" s="371">
        <f t="shared" si="6"/>
        <v>4.4152847608115238</v>
      </c>
      <c r="D86" s="371">
        <f t="shared" si="7"/>
        <v>7.3235130886144958E-2</v>
      </c>
      <c r="E86" s="371">
        <f t="shared" si="8"/>
        <v>0.3356894265829295</v>
      </c>
      <c r="F86" s="371">
        <f t="shared" si="9"/>
        <v>11812.401791361828</v>
      </c>
      <c r="G86" s="371">
        <f t="shared" si="10"/>
        <v>1.8577080189175919</v>
      </c>
      <c r="H86" s="371">
        <f t="shared" si="11"/>
        <v>4.2484802553540852</v>
      </c>
      <c r="I86" s="155">
        <f>SUM(Table2B.2_AQ_PA90[[#This Row],[NOX]:[VOC]])</f>
        <v>11823.332188954379</v>
      </c>
    </row>
    <row r="87" spans="2:9">
      <c r="B87" s="134">
        <f>First_Year+'Q_Appendix B. Project Info'!B49</f>
        <v>2052</v>
      </c>
      <c r="C87" s="371">
        <f t="shared" si="6"/>
        <v>4.3305327536154881</v>
      </c>
      <c r="D87" s="371">
        <f t="shared" si="7"/>
        <v>7.3200981441205515E-2</v>
      </c>
      <c r="E87" s="371">
        <f t="shared" si="8"/>
        <v>0.33374201781996993</v>
      </c>
      <c r="F87" s="371">
        <f t="shared" si="9"/>
        <v>11809.533743616736</v>
      </c>
      <c r="G87" s="371">
        <f t="shared" si="10"/>
        <v>1.8650070389453306</v>
      </c>
      <c r="H87" s="371">
        <f t="shared" si="11"/>
        <v>4.2230894913490058</v>
      </c>
      <c r="I87" s="155">
        <f>SUM(Table2B.2_AQ_PA90[[#This Row],[NOX]:[VOC]])</f>
        <v>11820.359315899905</v>
      </c>
    </row>
    <row r="88" spans="2:9" s="132" customFormat="1">
      <c r="B88" s="134">
        <f>First_Year+'Q_Appendix B. Project Info'!B50</f>
        <v>2053</v>
      </c>
      <c r="C88" s="371">
        <f t="shared" si="6"/>
        <v>4.2457807464194524</v>
      </c>
      <c r="D88" s="371">
        <f t="shared" si="7"/>
        <v>7.3166831996266071E-2</v>
      </c>
      <c r="E88" s="371">
        <f t="shared" si="8"/>
        <v>0.33179460905701036</v>
      </c>
      <c r="F88" s="371">
        <f t="shared" si="9"/>
        <v>11806.665695871643</v>
      </c>
      <c r="G88" s="371">
        <f t="shared" si="10"/>
        <v>1.8723060589730693</v>
      </c>
      <c r="H88" s="371">
        <f t="shared" si="11"/>
        <v>4.1976987273439264</v>
      </c>
      <c r="I88" s="155">
        <f>SUM(Table2B.2_AQ_PA90[[#This Row],[NOX]:[VOC]])</f>
        <v>11817.386442845433</v>
      </c>
    </row>
    <row r="89" spans="2:9">
      <c r="B89" s="134">
        <f>First_Year+'Q_Appendix B. Project Info'!B51</f>
        <v>2054</v>
      </c>
      <c r="C89" s="371">
        <f t="shared" si="6"/>
        <v>4.1610287392234167</v>
      </c>
      <c r="D89" s="371">
        <f t="shared" si="7"/>
        <v>7.3132682551326628E-2</v>
      </c>
      <c r="E89" s="371">
        <f t="shared" si="8"/>
        <v>0.32984720029405079</v>
      </c>
      <c r="F89" s="371">
        <f t="shared" si="9"/>
        <v>11803.79764812655</v>
      </c>
      <c r="G89" s="371">
        <f t="shared" si="10"/>
        <v>1.8796050790008081</v>
      </c>
      <c r="H89" s="371">
        <f t="shared" si="11"/>
        <v>4.1723079633388469</v>
      </c>
      <c r="I89" s="155">
        <f>SUM(Table2B.2_AQ_PA90[[#This Row],[NOX]:[VOC]])</f>
        <v>11814.413569790959</v>
      </c>
    </row>
    <row r="90" spans="2:9">
      <c r="B90" s="134">
        <f>First_Year+'Q_Appendix B. Project Info'!B52</f>
        <v>2055</v>
      </c>
      <c r="C90" s="371">
        <f t="shared" si="6"/>
        <v>4.0762767320273809</v>
      </c>
      <c r="D90" s="371">
        <f t="shared" si="7"/>
        <v>7.3098533106387184E-2</v>
      </c>
      <c r="E90" s="371">
        <f t="shared" si="8"/>
        <v>0.32789979153109122</v>
      </c>
      <c r="F90" s="371">
        <f t="shared" si="9"/>
        <v>11800.929600381458</v>
      </c>
      <c r="G90" s="371">
        <f t="shared" si="10"/>
        <v>1.8869040990285468</v>
      </c>
      <c r="H90" s="371">
        <f t="shared" si="11"/>
        <v>4.1469171993337675</v>
      </c>
      <c r="I90" s="155">
        <f>SUM(Table2B.2_AQ_PA90[[#This Row],[NOX]:[VOC]])</f>
        <v>11811.440696736485</v>
      </c>
    </row>
    <row r="91" spans="2:9">
      <c r="B91" s="134">
        <f>First_Year+'Q_Appendix B. Project Info'!B53</f>
        <v>2056</v>
      </c>
      <c r="C91" s="371">
        <f t="shared" si="6"/>
        <v>3.9915247248313457</v>
      </c>
      <c r="D91" s="371">
        <f t="shared" si="7"/>
        <v>7.306438366144774E-2</v>
      </c>
      <c r="E91" s="371">
        <f t="shared" si="8"/>
        <v>0.32595238276813165</v>
      </c>
      <c r="F91" s="371">
        <f t="shared" si="9"/>
        <v>11798.061552636365</v>
      </c>
      <c r="G91" s="371">
        <f t="shared" si="10"/>
        <v>1.8942031190562856</v>
      </c>
      <c r="H91" s="371">
        <f t="shared" si="11"/>
        <v>4.121526435328688</v>
      </c>
      <c r="I91" s="155">
        <f>SUM(Table2B.2_AQ_PA90[[#This Row],[NOX]:[VOC]])</f>
        <v>11808.467823682011</v>
      </c>
    </row>
    <row r="92" spans="2:9">
      <c r="B92" s="134">
        <f>First_Year+'Q_Appendix B. Project Info'!B54</f>
        <v>2057</v>
      </c>
      <c r="C92" s="371">
        <f t="shared" si="6"/>
        <v>3.9067727176353104</v>
      </c>
      <c r="D92" s="371">
        <f t="shared" si="7"/>
        <v>7.3030234216508297E-2</v>
      </c>
      <c r="E92" s="371">
        <f t="shared" si="8"/>
        <v>0.32400497400517209</v>
      </c>
      <c r="F92" s="371">
        <f t="shared" si="9"/>
        <v>11795.193504891273</v>
      </c>
      <c r="G92" s="371">
        <f t="shared" si="10"/>
        <v>1.9015021390840243</v>
      </c>
      <c r="H92" s="371">
        <f t="shared" si="11"/>
        <v>4.0961356713236086</v>
      </c>
      <c r="I92" s="155">
        <f>SUM(Table2B.2_AQ_PA90[[#This Row],[NOX]:[VOC]])</f>
        <v>11805.494950627537</v>
      </c>
    </row>
    <row r="93" spans="2:9">
      <c r="B93" s="134">
        <f>First_Year+'Q_Appendix B. Project Info'!B55</f>
        <v>2058</v>
      </c>
      <c r="C93" s="203">
        <f>4.20995581254887/1.1015</f>
        <v>3.8220207104392832</v>
      </c>
      <c r="D93" s="203">
        <f>0.0804051873758833/1.1015</f>
        <v>7.2996084771569048E-2</v>
      </c>
      <c r="E93" s="203">
        <f>0.354746408114297/1.1015</f>
        <v>0.32205756524221246</v>
      </c>
      <c r="F93" s="203">
        <f>12989.2464910465/1.1015</f>
        <v>11792.325457146166</v>
      </c>
      <c r="G93" s="203">
        <f>2.10254447676161/1.1015</f>
        <v>1.908801159111766</v>
      </c>
      <c r="H93" s="203">
        <f>4.48392551541136/1.1015</f>
        <v>4.0707449073185291</v>
      </c>
      <c r="I93" s="155">
        <f>SUM(Table2B.2_AQ_PA90[[#This Row],[NOX]:[VOC]])</f>
        <v>11802.522077573049</v>
      </c>
    </row>
    <row r="94" spans="2:9">
      <c r="B94" s="134" t="s">
        <v>28</v>
      </c>
      <c r="C94" s="201">
        <f>SUBTOTAL(109,Table2B.2_AQ_PA90[NOX])</f>
        <v>157.89232536977411</v>
      </c>
      <c r="D94" s="201">
        <f>SUBTOTAL(109,Table2B.2_AQ_PA90[SOx])</f>
        <v>2.278758119815476</v>
      </c>
      <c r="E94" s="201">
        <f>SUBTOTAL(109,Table2B.2_AQ_PA90[PM2.5])</f>
        <v>10.889329597284787</v>
      </c>
      <c r="F94" s="201">
        <f>SUBTOTAL(109,Table2B.2_AQ_PA90[CO2])</f>
        <v>366895.73137299961</v>
      </c>
      <c r="G94" s="201">
        <f>SUBTOTAL(109,Table2B.2_AQ_PA90[PM10])</f>
        <v>55.778791619566142</v>
      </c>
      <c r="H94" s="201">
        <f>SUBTOTAL(109,Table2B.2_AQ_PA90[VOC])</f>
        <v>137.99979738923631</v>
      </c>
      <c r="I94" s="202">
        <f>SUBTOTAL(109,Table2B.2_AQ_PA90[Total])</f>
        <v>367260.5703750953</v>
      </c>
    </row>
    <row r="96" spans="2:9">
      <c r="B96" s="63" t="s">
        <v>143</v>
      </c>
    </row>
    <row r="98" spans="2:9">
      <c r="B98" s="133" t="s">
        <v>21</v>
      </c>
      <c r="C98" s="145" t="s">
        <v>130</v>
      </c>
      <c r="D98" s="145" t="s">
        <v>122</v>
      </c>
      <c r="E98" s="145" t="s">
        <v>131</v>
      </c>
      <c r="F98" s="145" t="s">
        <v>132</v>
      </c>
      <c r="G98" s="145" t="s">
        <v>133</v>
      </c>
      <c r="H98" s="145" t="s">
        <v>126</v>
      </c>
      <c r="I98" s="145" t="s">
        <v>28</v>
      </c>
    </row>
    <row r="99" spans="2:9">
      <c r="B99" s="134">
        <f>First_Year+'Q_Appendix B. Project Info'!B20</f>
        <v>2023</v>
      </c>
      <c r="C99" s="155">
        <f t="shared" ref="C99:H108" si="12">C17-C58</f>
        <v>0</v>
      </c>
      <c r="D99" s="155">
        <f t="shared" si="12"/>
        <v>0</v>
      </c>
      <c r="E99" s="155">
        <f t="shared" si="12"/>
        <v>0</v>
      </c>
      <c r="F99" s="155">
        <f t="shared" si="12"/>
        <v>0</v>
      </c>
      <c r="G99" s="155">
        <f t="shared" si="12"/>
        <v>0</v>
      </c>
      <c r="H99" s="155">
        <f t="shared" si="12"/>
        <v>0</v>
      </c>
      <c r="I99" s="155">
        <f>SUM(Table2B.3_AQ_Dif92[[#This Row],[NOX]:[VOC]])</f>
        <v>0</v>
      </c>
    </row>
    <row r="100" spans="2:9">
      <c r="B100" s="134">
        <f>First_Year+'Q_Appendix B. Project Info'!B21</f>
        <v>2024</v>
      </c>
      <c r="C100" s="155">
        <f t="shared" si="12"/>
        <v>0</v>
      </c>
      <c r="D100" s="155">
        <f t="shared" si="12"/>
        <v>0</v>
      </c>
      <c r="E100" s="155">
        <f t="shared" si="12"/>
        <v>0</v>
      </c>
      <c r="F100" s="155">
        <f t="shared" si="12"/>
        <v>0</v>
      </c>
      <c r="G100" s="155">
        <f t="shared" si="12"/>
        <v>0</v>
      </c>
      <c r="H100" s="155">
        <f t="shared" si="12"/>
        <v>0</v>
      </c>
      <c r="I100" s="155">
        <f>SUM(Table2B.3_AQ_Dif92[[#This Row],[NOX]:[VOC]])</f>
        <v>0</v>
      </c>
    </row>
    <row r="101" spans="2:9">
      <c r="B101" s="134">
        <f>First_Year+'Q_Appendix B. Project Info'!B22</f>
        <v>2025</v>
      </c>
      <c r="C101" s="155">
        <f t="shared" si="12"/>
        <v>0</v>
      </c>
      <c r="D101" s="155">
        <f t="shared" si="12"/>
        <v>0</v>
      </c>
      <c r="E101" s="155">
        <f t="shared" si="12"/>
        <v>0</v>
      </c>
      <c r="F101" s="155">
        <f t="shared" si="12"/>
        <v>0</v>
      </c>
      <c r="G101" s="155">
        <f t="shared" si="12"/>
        <v>0</v>
      </c>
      <c r="H101" s="155">
        <f t="shared" si="12"/>
        <v>0</v>
      </c>
      <c r="I101" s="155">
        <f>SUM(Table2B.3_AQ_Dif92[[#This Row],[NOX]:[VOC]])</f>
        <v>0</v>
      </c>
    </row>
    <row r="102" spans="2:9">
      <c r="B102" s="134">
        <f>First_Year+'Q_Appendix B. Project Info'!B23</f>
        <v>2026</v>
      </c>
      <c r="C102" s="155">
        <f t="shared" si="12"/>
        <v>0</v>
      </c>
      <c r="D102" s="155">
        <f t="shared" si="12"/>
        <v>0</v>
      </c>
      <c r="E102" s="155">
        <f t="shared" si="12"/>
        <v>0</v>
      </c>
      <c r="F102" s="155">
        <f t="shared" si="12"/>
        <v>0</v>
      </c>
      <c r="G102" s="155">
        <f t="shared" si="12"/>
        <v>0</v>
      </c>
      <c r="H102" s="155">
        <f t="shared" si="12"/>
        <v>0</v>
      </c>
      <c r="I102" s="155">
        <f>SUM(Table2B.3_AQ_Dif92[[#This Row],[NOX]:[VOC]])</f>
        <v>0</v>
      </c>
    </row>
    <row r="103" spans="2:9">
      <c r="B103" s="134">
        <f>First_Year+'Q_Appendix B. Project Info'!B24</f>
        <v>2027</v>
      </c>
      <c r="C103" s="155">
        <f t="shared" si="12"/>
        <v>0</v>
      </c>
      <c r="D103" s="155">
        <f t="shared" si="12"/>
        <v>0</v>
      </c>
      <c r="E103" s="155">
        <f t="shared" si="12"/>
        <v>0</v>
      </c>
      <c r="F103" s="155">
        <f t="shared" si="12"/>
        <v>0</v>
      </c>
      <c r="G103" s="155">
        <f t="shared" si="12"/>
        <v>0</v>
      </c>
      <c r="H103" s="155">
        <f t="shared" si="12"/>
        <v>0</v>
      </c>
      <c r="I103" s="155">
        <f>SUM(Table2B.3_AQ_Dif92[[#This Row],[NOX]:[VOC]])</f>
        <v>0</v>
      </c>
    </row>
    <row r="104" spans="2:9">
      <c r="B104" s="134">
        <f>First_Year+'Q_Appendix B. Project Info'!B25</f>
        <v>2028</v>
      </c>
      <c r="C104" s="155">
        <f t="shared" si="12"/>
        <v>0.31977260506622862</v>
      </c>
      <c r="D104" s="155">
        <f t="shared" si="12"/>
        <v>-1.7843833840362755E-4</v>
      </c>
      <c r="E104" s="155">
        <f t="shared" si="12"/>
        <v>5.1167842770326821E-2</v>
      </c>
      <c r="F104" s="155">
        <f t="shared" si="12"/>
        <v>29.755443191737868</v>
      </c>
      <c r="G104" s="155">
        <f t="shared" si="12"/>
        <v>0.29248217176965041</v>
      </c>
      <c r="H104" s="155">
        <f t="shared" si="12"/>
        <v>8.1275169138011805E-2</v>
      </c>
      <c r="I104" s="155">
        <f>SUM(Table2B.3_AQ_Dif92[[#This Row],[NOX]:[VOC]])</f>
        <v>30.499962542143678</v>
      </c>
    </row>
    <row r="105" spans="2:9">
      <c r="B105" s="134">
        <f>First_Year+'Q_Appendix B. Project Info'!B26</f>
        <v>2029</v>
      </c>
      <c r="C105" s="155">
        <f t="shared" si="12"/>
        <v>0.32124507475400943</v>
      </c>
      <c r="D105" s="155">
        <f t="shared" si="12"/>
        <v>-2.0850738866635965E-4</v>
      </c>
      <c r="E105" s="155">
        <f t="shared" si="12"/>
        <v>5.0687006806513224E-2</v>
      </c>
      <c r="F105" s="155">
        <f t="shared" si="12"/>
        <v>24.996294050964934</v>
      </c>
      <c r="G105" s="155">
        <f t="shared" si="12"/>
        <v>0.29258783992390569</v>
      </c>
      <c r="H105" s="155">
        <f t="shared" si="12"/>
        <v>7.8835360751181582E-2</v>
      </c>
      <c r="I105" s="155">
        <f>SUM(Table2B.3_AQ_Dif92[[#This Row],[NOX]:[VOC]])</f>
        <v>25.739440825811879</v>
      </c>
    </row>
    <row r="106" spans="2:9">
      <c r="B106" s="134">
        <f>First_Year+'Q_Appendix B. Project Info'!B27</f>
        <v>2030</v>
      </c>
      <c r="C106" s="155">
        <f t="shared" si="12"/>
        <v>0.32271754444179024</v>
      </c>
      <c r="D106" s="155">
        <f t="shared" si="12"/>
        <v>-2.3857643892909175E-4</v>
      </c>
      <c r="E106" s="155">
        <f t="shared" si="12"/>
        <v>5.0206170842699627E-2</v>
      </c>
      <c r="F106" s="155">
        <f t="shared" si="12"/>
        <v>20.237144910192001</v>
      </c>
      <c r="G106" s="155">
        <f t="shared" si="12"/>
        <v>0.29269350807816097</v>
      </c>
      <c r="H106" s="155">
        <f t="shared" si="12"/>
        <v>7.639555236435136E-2</v>
      </c>
      <c r="I106" s="155">
        <f>SUM(Table2B.3_AQ_Dif92[[#This Row],[NOX]:[VOC]])</f>
        <v>20.978919109480074</v>
      </c>
    </row>
    <row r="107" spans="2:9">
      <c r="B107" s="134">
        <f>First_Year+'Q_Appendix B. Project Info'!B28</f>
        <v>2031</v>
      </c>
      <c r="C107" s="155">
        <f t="shared" si="12"/>
        <v>0.32419001412957105</v>
      </c>
      <c r="D107" s="155">
        <f t="shared" si="12"/>
        <v>-2.6864548919182385E-4</v>
      </c>
      <c r="E107" s="155">
        <f t="shared" si="12"/>
        <v>4.9725334878886029E-2</v>
      </c>
      <c r="F107" s="155">
        <f t="shared" si="12"/>
        <v>15.477995769419067</v>
      </c>
      <c r="G107" s="155">
        <f t="shared" si="12"/>
        <v>0.29279917623241603</v>
      </c>
      <c r="H107" s="155">
        <f t="shared" si="12"/>
        <v>7.3955743977521138E-2</v>
      </c>
      <c r="I107" s="155">
        <f>SUM(Table2B.3_AQ_Dif92[[#This Row],[NOX]:[VOC]])</f>
        <v>16.218397393148269</v>
      </c>
    </row>
    <row r="108" spans="2:9">
      <c r="B108" s="134">
        <f>First_Year+'Q_Appendix B. Project Info'!B29</f>
        <v>2032</v>
      </c>
      <c r="C108" s="155">
        <f t="shared" si="12"/>
        <v>0.32566248381735186</v>
      </c>
      <c r="D108" s="155">
        <f t="shared" si="12"/>
        <v>-2.9871453945455595E-4</v>
      </c>
      <c r="E108" s="155">
        <f t="shared" si="12"/>
        <v>4.9244498915072432E-2</v>
      </c>
      <c r="F108" s="155">
        <f t="shared" si="12"/>
        <v>10.718846628646133</v>
      </c>
      <c r="G108" s="155">
        <f t="shared" si="12"/>
        <v>0.29290484438667108</v>
      </c>
      <c r="H108" s="155">
        <f t="shared" si="12"/>
        <v>7.1515935590690916E-2</v>
      </c>
      <c r="I108" s="155">
        <f>SUM(Table2B.3_AQ_Dif92[[#This Row],[NOX]:[VOC]])</f>
        <v>11.457875676816466</v>
      </c>
    </row>
    <row r="109" spans="2:9">
      <c r="B109" s="134">
        <f>First_Year+'Q_Appendix B. Project Info'!B30</f>
        <v>2033</v>
      </c>
      <c r="C109" s="155">
        <f t="shared" ref="C109:H118" si="13">C27-C68</f>
        <v>0.32713495350513266</v>
      </c>
      <c r="D109" s="155">
        <f t="shared" si="13"/>
        <v>-3.2878358971728805E-4</v>
      </c>
      <c r="E109" s="155">
        <f t="shared" si="13"/>
        <v>4.8763662951258835E-2</v>
      </c>
      <c r="F109" s="155">
        <f t="shared" si="13"/>
        <v>5.9596974878731999</v>
      </c>
      <c r="G109" s="155">
        <f t="shared" si="13"/>
        <v>0.29301051254092614</v>
      </c>
      <c r="H109" s="155">
        <f t="shared" si="13"/>
        <v>6.9076127203860693E-2</v>
      </c>
      <c r="I109" s="155">
        <f>SUM(Table2B.3_AQ_Dif92[[#This Row],[NOX]:[VOC]])</f>
        <v>6.6973539604846604</v>
      </c>
    </row>
    <row r="110" spans="2:9">
      <c r="B110" s="134">
        <f>First_Year+'Q_Appendix B. Project Info'!B31</f>
        <v>2034</v>
      </c>
      <c r="C110" s="155">
        <f t="shared" si="13"/>
        <v>0.32860742319291347</v>
      </c>
      <c r="D110" s="155">
        <f t="shared" si="13"/>
        <v>-3.5885263998002015E-4</v>
      </c>
      <c r="E110" s="155">
        <f t="shared" si="13"/>
        <v>4.8282826987445238E-2</v>
      </c>
      <c r="F110" s="155">
        <f t="shared" si="13"/>
        <v>1.2005483471002663</v>
      </c>
      <c r="G110" s="155">
        <f t="shared" si="13"/>
        <v>0.29311618069518119</v>
      </c>
      <c r="H110" s="155">
        <f t="shared" si="13"/>
        <v>6.6636318817030471E-2</v>
      </c>
      <c r="I110" s="155">
        <f>SUM(Table2B.3_AQ_Dif92[[#This Row],[NOX]:[VOC]])</f>
        <v>1.9368322441528567</v>
      </c>
    </row>
    <row r="111" spans="2:9">
      <c r="B111" s="134">
        <f>First_Year+'Q_Appendix B. Project Info'!B32</f>
        <v>2035</v>
      </c>
      <c r="C111" s="155">
        <f t="shared" si="13"/>
        <v>0.33007989288069428</v>
      </c>
      <c r="D111" s="155">
        <f t="shared" si="13"/>
        <v>-3.8892169024275225E-4</v>
      </c>
      <c r="E111" s="155">
        <f t="shared" si="13"/>
        <v>4.780199102363164E-2</v>
      </c>
      <c r="F111" s="155">
        <f t="shared" si="13"/>
        <v>-3.5586007936726674</v>
      </c>
      <c r="G111" s="155">
        <f t="shared" si="13"/>
        <v>0.29322184884943625</v>
      </c>
      <c r="H111" s="155">
        <f t="shared" si="13"/>
        <v>6.4196510430200249E-2</v>
      </c>
      <c r="I111" s="155">
        <f>SUM(Table2B.3_AQ_Dif92[[#This Row],[NOX]:[VOC]])</f>
        <v>-2.8236894721789474</v>
      </c>
    </row>
    <row r="112" spans="2:9">
      <c r="B112" s="134">
        <f>First_Year+'Q_Appendix B. Project Info'!B33</f>
        <v>2036</v>
      </c>
      <c r="C112" s="155">
        <f t="shared" si="13"/>
        <v>0.33155236256847509</v>
      </c>
      <c r="D112" s="155">
        <f t="shared" si="13"/>
        <v>-4.1899074050548435E-4</v>
      </c>
      <c r="E112" s="155">
        <f t="shared" si="13"/>
        <v>4.7321155059818043E-2</v>
      </c>
      <c r="F112" s="155">
        <f t="shared" si="13"/>
        <v>-8.317749934445601</v>
      </c>
      <c r="G112" s="155">
        <f t="shared" si="13"/>
        <v>0.29332751700369131</v>
      </c>
      <c r="H112" s="155">
        <f t="shared" si="13"/>
        <v>6.1756702043370026E-2</v>
      </c>
      <c r="I112" s="155">
        <f>SUM(Table2B.3_AQ_Dif92[[#This Row],[NOX]:[VOC]])</f>
        <v>-7.5842111885107526</v>
      </c>
    </row>
    <row r="113" spans="2:9">
      <c r="B113" s="134">
        <f>First_Year+'Q_Appendix B. Project Info'!B34</f>
        <v>2037</v>
      </c>
      <c r="C113" s="155">
        <f t="shared" si="13"/>
        <v>0.3330248322562559</v>
      </c>
      <c r="D113" s="155">
        <f t="shared" si="13"/>
        <v>-4.4905979076821645E-4</v>
      </c>
      <c r="E113" s="155">
        <f t="shared" si="13"/>
        <v>4.6840319096004446E-2</v>
      </c>
      <c r="F113" s="155">
        <f t="shared" si="13"/>
        <v>-13.076899075218535</v>
      </c>
      <c r="G113" s="155">
        <f t="shared" si="13"/>
        <v>0.29343318515794636</v>
      </c>
      <c r="H113" s="155">
        <f t="shared" si="13"/>
        <v>5.9316893656539804E-2</v>
      </c>
      <c r="I113" s="155">
        <f>SUM(Table2B.3_AQ_Dif92[[#This Row],[NOX]:[VOC]])</f>
        <v>-12.344732904842557</v>
      </c>
    </row>
    <row r="114" spans="2:9">
      <c r="B114" s="134">
        <f>First_Year+'Q_Appendix B. Project Info'!B35</f>
        <v>2038</v>
      </c>
      <c r="C114" s="155">
        <f t="shared" si="13"/>
        <v>0.33449730194403671</v>
      </c>
      <c r="D114" s="155">
        <f t="shared" si="13"/>
        <v>-4.7912884103094855E-4</v>
      </c>
      <c r="E114" s="155">
        <f t="shared" si="13"/>
        <v>4.6359483132190848E-2</v>
      </c>
      <c r="F114" s="155">
        <f t="shared" si="13"/>
        <v>-17.836048215991468</v>
      </c>
      <c r="G114" s="155">
        <f t="shared" si="13"/>
        <v>0.29353885331220142</v>
      </c>
      <c r="H114" s="155">
        <f t="shared" si="13"/>
        <v>5.6877085269709582E-2</v>
      </c>
      <c r="I114" s="155">
        <f>SUM(Table2B.3_AQ_Dif92[[#This Row],[NOX]:[VOC]])</f>
        <v>-17.10525462117436</v>
      </c>
    </row>
    <row r="115" spans="2:9">
      <c r="B115" s="134">
        <f>First_Year+'Q_Appendix B. Project Info'!B36</f>
        <v>2039</v>
      </c>
      <c r="C115" s="155">
        <f t="shared" si="13"/>
        <v>0.33596977163181752</v>
      </c>
      <c r="D115" s="155">
        <f t="shared" si="13"/>
        <v>-5.0919789129368065E-4</v>
      </c>
      <c r="E115" s="155">
        <f t="shared" si="13"/>
        <v>4.5878647168377251E-2</v>
      </c>
      <c r="F115" s="155">
        <f t="shared" si="13"/>
        <v>-22.595197356764402</v>
      </c>
      <c r="G115" s="155">
        <f t="shared" si="13"/>
        <v>0.29364452146645648</v>
      </c>
      <c r="H115" s="155">
        <f t="shared" si="13"/>
        <v>5.443727688287936E-2</v>
      </c>
      <c r="I115" s="155">
        <f>SUM(Table2B.3_AQ_Dif92[[#This Row],[NOX]:[VOC]])</f>
        <v>-21.865776337506162</v>
      </c>
    </row>
    <row r="116" spans="2:9">
      <c r="B116" s="134">
        <f>First_Year+'Q_Appendix B. Project Info'!B37</f>
        <v>2040</v>
      </c>
      <c r="C116" s="155">
        <f t="shared" si="13"/>
        <v>0.33744224131959832</v>
      </c>
      <c r="D116" s="155">
        <f t="shared" si="13"/>
        <v>-5.3926694155641275E-4</v>
      </c>
      <c r="E116" s="155">
        <f t="shared" si="13"/>
        <v>4.5397811204563654E-2</v>
      </c>
      <c r="F116" s="155">
        <f t="shared" si="13"/>
        <v>-27.354346497537335</v>
      </c>
      <c r="G116" s="155">
        <f t="shared" si="13"/>
        <v>0.29375018962071153</v>
      </c>
      <c r="H116" s="155">
        <f t="shared" si="13"/>
        <v>5.1997468496049137E-2</v>
      </c>
      <c r="I116" s="155">
        <f>SUM(Table2B.3_AQ_Dif92[[#This Row],[NOX]:[VOC]])</f>
        <v>-26.626298053837971</v>
      </c>
    </row>
    <row r="117" spans="2:9">
      <c r="B117" s="134">
        <f>First_Year+'Q_Appendix B. Project Info'!B38</f>
        <v>2041</v>
      </c>
      <c r="C117" s="155">
        <f t="shared" si="13"/>
        <v>0.33891471100737913</v>
      </c>
      <c r="D117" s="155">
        <f t="shared" si="13"/>
        <v>-5.6933599181914485E-4</v>
      </c>
      <c r="E117" s="155">
        <f t="shared" si="13"/>
        <v>4.4916975240750057E-2</v>
      </c>
      <c r="F117" s="155">
        <f t="shared" si="13"/>
        <v>-32.113495638310269</v>
      </c>
      <c r="G117" s="155">
        <f t="shared" si="13"/>
        <v>0.29385585777496659</v>
      </c>
      <c r="H117" s="155">
        <f t="shared" si="13"/>
        <v>4.9557660109218915E-2</v>
      </c>
      <c r="I117" s="155">
        <f>SUM(Table2B.3_AQ_Dif92[[#This Row],[NOX]:[VOC]])</f>
        <v>-31.386819770169772</v>
      </c>
    </row>
    <row r="118" spans="2:9">
      <c r="B118" s="134">
        <f>First_Year+'Q_Appendix B. Project Info'!B39</f>
        <v>2042</v>
      </c>
      <c r="C118" s="155">
        <f t="shared" si="13"/>
        <v>0.34038718069515994</v>
      </c>
      <c r="D118" s="155">
        <f t="shared" si="13"/>
        <v>-5.9940504208187695E-4</v>
      </c>
      <c r="E118" s="155">
        <f t="shared" si="13"/>
        <v>4.4436139276936459E-2</v>
      </c>
      <c r="F118" s="155">
        <f t="shared" si="13"/>
        <v>-36.872644779083203</v>
      </c>
      <c r="G118" s="155">
        <f t="shared" si="13"/>
        <v>0.29396152592922165</v>
      </c>
      <c r="H118" s="155">
        <f t="shared" si="13"/>
        <v>4.7117851722388693E-2</v>
      </c>
      <c r="I118" s="155">
        <f>SUM(Table2B.3_AQ_Dif92[[#This Row],[NOX]:[VOC]])</f>
        <v>-36.147341486501581</v>
      </c>
    </row>
    <row r="119" spans="2:9">
      <c r="B119" s="134">
        <f>First_Year+'Q_Appendix B. Project Info'!B40</f>
        <v>2043</v>
      </c>
      <c r="C119" s="155">
        <f t="shared" ref="C119:H128" si="14">C37-C78</f>
        <v>0.34185965038294075</v>
      </c>
      <c r="D119" s="155">
        <f t="shared" si="14"/>
        <v>-6.2947409234460905E-4</v>
      </c>
      <c r="E119" s="155">
        <f t="shared" si="14"/>
        <v>4.3955303313122862E-2</v>
      </c>
      <c r="F119" s="155">
        <f t="shared" si="14"/>
        <v>-41.631793919856136</v>
      </c>
      <c r="G119" s="155">
        <f t="shared" si="14"/>
        <v>0.2940671940834767</v>
      </c>
      <c r="H119" s="155">
        <f t="shared" si="14"/>
        <v>4.4678043335558471E-2</v>
      </c>
      <c r="I119" s="155">
        <f>SUM(Table2B.3_AQ_Dif92[[#This Row],[NOX]:[VOC]])</f>
        <v>-40.907863202833383</v>
      </c>
    </row>
    <row r="120" spans="2:9">
      <c r="B120" s="134">
        <f>First_Year+'Q_Appendix B. Project Info'!B41</f>
        <v>2044</v>
      </c>
      <c r="C120" s="155">
        <f t="shared" si="14"/>
        <v>0.34333212007072156</v>
      </c>
      <c r="D120" s="155">
        <f t="shared" si="14"/>
        <v>-6.5954314260734115E-4</v>
      </c>
      <c r="E120" s="155">
        <f t="shared" si="14"/>
        <v>4.3474467349309265E-2</v>
      </c>
      <c r="F120" s="155">
        <f t="shared" si="14"/>
        <v>-46.39094306062907</v>
      </c>
      <c r="G120" s="155">
        <f t="shared" si="14"/>
        <v>0.29417286223773176</v>
      </c>
      <c r="H120" s="155">
        <f t="shared" si="14"/>
        <v>4.2238234948728248E-2</v>
      </c>
      <c r="I120" s="155">
        <f>SUM(Table2B.3_AQ_Dif92[[#This Row],[NOX]:[VOC]])</f>
        <v>-45.668384919165192</v>
      </c>
    </row>
    <row r="121" spans="2:9">
      <c r="B121" s="134">
        <f>First_Year+'Q_Appendix B. Project Info'!B42</f>
        <v>2045</v>
      </c>
      <c r="C121" s="155">
        <f t="shared" si="14"/>
        <v>0.34480458975850237</v>
      </c>
      <c r="D121" s="155">
        <f t="shared" si="14"/>
        <v>-6.8961219287007325E-4</v>
      </c>
      <c r="E121" s="155">
        <f t="shared" si="14"/>
        <v>4.2993631385495668E-2</v>
      </c>
      <c r="F121" s="155">
        <f t="shared" si="14"/>
        <v>-51.150092201402003</v>
      </c>
      <c r="G121" s="155">
        <f t="shared" si="14"/>
        <v>0.29427853039198681</v>
      </c>
      <c r="H121" s="155">
        <f t="shared" si="14"/>
        <v>3.9798426561898026E-2</v>
      </c>
      <c r="I121" s="155">
        <f>SUM(Table2B.3_AQ_Dif92[[#This Row],[NOX]:[VOC]])</f>
        <v>-50.428906635496986</v>
      </c>
    </row>
    <row r="122" spans="2:9">
      <c r="B122" s="134">
        <f>First_Year+'Q_Appendix B. Project Info'!B43</f>
        <v>2046</v>
      </c>
      <c r="C122" s="155">
        <f t="shared" si="14"/>
        <v>0.34627705944628318</v>
      </c>
      <c r="D122" s="155">
        <f t="shared" si="14"/>
        <v>-7.1968124313280535E-4</v>
      </c>
      <c r="E122" s="155">
        <f t="shared" si="14"/>
        <v>4.251279542168207E-2</v>
      </c>
      <c r="F122" s="155">
        <f t="shared" si="14"/>
        <v>-55.909241342174937</v>
      </c>
      <c r="G122" s="155">
        <f t="shared" si="14"/>
        <v>0.29438419854624187</v>
      </c>
      <c r="H122" s="155">
        <f t="shared" si="14"/>
        <v>3.7358618175067804E-2</v>
      </c>
      <c r="I122" s="155">
        <f>SUM(Table2B.3_AQ_Dif92[[#This Row],[NOX]:[VOC]])</f>
        <v>-55.189428351828795</v>
      </c>
    </row>
    <row r="123" spans="2:9">
      <c r="B123" s="134">
        <f>First_Year+'Q_Appendix B. Project Info'!B44</f>
        <v>2047</v>
      </c>
      <c r="C123" s="155">
        <f t="shared" si="14"/>
        <v>0.34774952913406398</v>
      </c>
      <c r="D123" s="155">
        <f t="shared" si="14"/>
        <v>-7.4975029339553745E-4</v>
      </c>
      <c r="E123" s="155">
        <f t="shared" si="14"/>
        <v>4.2031959457868473E-2</v>
      </c>
      <c r="F123" s="155">
        <f t="shared" si="14"/>
        <v>-60.668390482947871</v>
      </c>
      <c r="G123" s="155">
        <f t="shared" si="14"/>
        <v>0.29448986670049693</v>
      </c>
      <c r="H123" s="155">
        <f t="shared" si="14"/>
        <v>3.4918809788237581E-2</v>
      </c>
      <c r="I123" s="155">
        <f>SUM(Table2B.3_AQ_Dif92[[#This Row],[NOX]:[VOC]])</f>
        <v>-59.949950068160604</v>
      </c>
    </row>
    <row r="124" spans="2:9">
      <c r="B124" s="134">
        <f>First_Year+'Q_Appendix B. Project Info'!B45</f>
        <v>2048</v>
      </c>
      <c r="C124" s="155">
        <f t="shared" si="14"/>
        <v>0.34922199882184479</v>
      </c>
      <c r="D124" s="155">
        <f t="shared" si="14"/>
        <v>-7.7981934365826955E-4</v>
      </c>
      <c r="E124" s="155">
        <f t="shared" si="14"/>
        <v>4.1551123494054876E-2</v>
      </c>
      <c r="F124" s="155">
        <f t="shared" si="14"/>
        <v>-65.427539623720804</v>
      </c>
      <c r="G124" s="155">
        <f t="shared" si="14"/>
        <v>0.29459553485475198</v>
      </c>
      <c r="H124" s="155">
        <f t="shared" si="14"/>
        <v>3.2479001401407359E-2</v>
      </c>
      <c r="I124" s="155">
        <f>SUM(Table2B.3_AQ_Dif92[[#This Row],[NOX]:[VOC]])</f>
        <v>-64.710471784492398</v>
      </c>
    </row>
    <row r="125" spans="2:9">
      <c r="B125" s="134">
        <f>First_Year+'Q_Appendix B. Project Info'!B46</f>
        <v>2049</v>
      </c>
      <c r="C125" s="155">
        <f t="shared" si="14"/>
        <v>0.3506944685096256</v>
      </c>
      <c r="D125" s="155">
        <f t="shared" si="14"/>
        <v>-8.0988839392100165E-4</v>
      </c>
      <c r="E125" s="155">
        <f t="shared" si="14"/>
        <v>4.1070287530241278E-2</v>
      </c>
      <c r="F125" s="155">
        <f t="shared" si="14"/>
        <v>-70.186688764493738</v>
      </c>
      <c r="G125" s="155">
        <f t="shared" si="14"/>
        <v>0.29470120300900704</v>
      </c>
      <c r="H125" s="155">
        <f t="shared" si="14"/>
        <v>3.0039193014577137E-2</v>
      </c>
      <c r="I125" s="155">
        <f>SUM(Table2B.3_AQ_Dif92[[#This Row],[NOX]:[VOC]])</f>
        <v>-69.470993500824207</v>
      </c>
    </row>
    <row r="126" spans="2:9">
      <c r="B126" s="134">
        <f>First_Year+'Q_Appendix B. Project Info'!B47</f>
        <v>2050</v>
      </c>
      <c r="C126" s="155">
        <f t="shared" si="14"/>
        <v>0.35216693819740641</v>
      </c>
      <c r="D126" s="155">
        <f t="shared" si="14"/>
        <v>-8.3995744418373375E-4</v>
      </c>
      <c r="E126" s="155">
        <f t="shared" si="14"/>
        <v>4.0589451566427681E-2</v>
      </c>
      <c r="F126" s="155">
        <f t="shared" si="14"/>
        <v>-74.945837905266671</v>
      </c>
      <c r="G126" s="155">
        <f t="shared" si="14"/>
        <v>0.2948068711632621</v>
      </c>
      <c r="H126" s="155">
        <f t="shared" si="14"/>
        <v>2.7599384627746915E-2</v>
      </c>
      <c r="I126" s="155">
        <f>SUM(Table2B.3_AQ_Dif92[[#This Row],[NOX]:[VOC]])</f>
        <v>-74.231515217156016</v>
      </c>
    </row>
    <row r="127" spans="2:9">
      <c r="B127" s="134">
        <f>First_Year+'Q_Appendix B. Project Info'!B48</f>
        <v>2051</v>
      </c>
      <c r="C127" s="155">
        <f t="shared" si="14"/>
        <v>0.35363940788518722</v>
      </c>
      <c r="D127" s="155">
        <f t="shared" si="14"/>
        <v>-8.7002649444646585E-4</v>
      </c>
      <c r="E127" s="155">
        <f t="shared" si="14"/>
        <v>4.0108615602614084E-2</v>
      </c>
      <c r="F127" s="155">
        <f t="shared" si="14"/>
        <v>-79.704987046039605</v>
      </c>
      <c r="G127" s="155">
        <f t="shared" si="14"/>
        <v>0.29491253931751715</v>
      </c>
      <c r="H127" s="155">
        <f t="shared" si="14"/>
        <v>2.5159576240916692E-2</v>
      </c>
      <c r="I127" s="155">
        <f>SUM(Table2B.3_AQ_Dif92[[#This Row],[NOX]:[VOC]])</f>
        <v>-78.99203693348781</v>
      </c>
    </row>
    <row r="128" spans="2:9">
      <c r="B128" s="134">
        <f>First_Year+'Q_Appendix B. Project Info'!B49</f>
        <v>2052</v>
      </c>
      <c r="C128" s="155">
        <f t="shared" si="14"/>
        <v>0.35511187757296803</v>
      </c>
      <c r="D128" s="155">
        <f t="shared" si="14"/>
        <v>-9.0009554470919795E-4</v>
      </c>
      <c r="E128" s="155">
        <f t="shared" si="14"/>
        <v>3.9627779638800487E-2</v>
      </c>
      <c r="F128" s="155">
        <f t="shared" si="14"/>
        <v>-84.464136186812539</v>
      </c>
      <c r="G128" s="155">
        <f t="shared" si="14"/>
        <v>0.29501820747177221</v>
      </c>
      <c r="H128" s="155">
        <f t="shared" si="14"/>
        <v>2.271976785408647E-2</v>
      </c>
      <c r="I128" s="155">
        <f>SUM(Table2B.3_AQ_Dif92[[#This Row],[NOX]:[VOC]])</f>
        <v>-83.752558649819619</v>
      </c>
    </row>
    <row r="129" spans="2:9">
      <c r="B129" s="134">
        <f>First_Year+'Q_Appendix B. Project Info'!B50</f>
        <v>2053</v>
      </c>
      <c r="C129" s="155">
        <f t="shared" ref="C129:H134" si="15">C47-C88</f>
        <v>0.35658434726074884</v>
      </c>
      <c r="D129" s="155">
        <f t="shared" si="15"/>
        <v>-9.3016459497193005E-4</v>
      </c>
      <c r="E129" s="155">
        <f t="shared" si="15"/>
        <v>3.9146943674986889E-2</v>
      </c>
      <c r="F129" s="155">
        <f t="shared" si="15"/>
        <v>-89.223285327585472</v>
      </c>
      <c r="G129" s="155">
        <f t="shared" si="15"/>
        <v>0.29512387562602727</v>
      </c>
      <c r="H129" s="155">
        <f t="shared" si="15"/>
        <v>2.0279959467256248E-2</v>
      </c>
      <c r="I129" s="155">
        <f>SUM(Table2B.3_AQ_Dif92[[#This Row],[NOX]:[VOC]])</f>
        <v>-88.513080366151414</v>
      </c>
    </row>
    <row r="130" spans="2:9">
      <c r="B130" s="134">
        <f>First_Year+'Q_Appendix B. Project Info'!B51</f>
        <v>2054</v>
      </c>
      <c r="C130" s="155">
        <f t="shared" si="15"/>
        <v>0.35805681694852964</v>
      </c>
      <c r="D130" s="155">
        <f t="shared" si="15"/>
        <v>-9.6023364523466215E-4</v>
      </c>
      <c r="E130" s="155">
        <f t="shared" si="15"/>
        <v>3.8666107711173292E-2</v>
      </c>
      <c r="F130" s="155">
        <f t="shared" si="15"/>
        <v>-93.982434468358406</v>
      </c>
      <c r="G130" s="155">
        <f t="shared" si="15"/>
        <v>0.29522954378028232</v>
      </c>
      <c r="H130" s="155">
        <f t="shared" si="15"/>
        <v>1.7840151080426025E-2</v>
      </c>
      <c r="I130" s="155">
        <f>SUM(Table2B.3_AQ_Dif92[[#This Row],[NOX]:[VOC]])</f>
        <v>-93.273602082483237</v>
      </c>
    </row>
    <row r="131" spans="2:9">
      <c r="B131" s="134">
        <f>First_Year+'Q_Appendix B. Project Info'!B52</f>
        <v>2055</v>
      </c>
      <c r="C131" s="155">
        <f t="shared" si="15"/>
        <v>0.35952928663631045</v>
      </c>
      <c r="D131" s="155">
        <f t="shared" si="15"/>
        <v>-9.9030269549739425E-4</v>
      </c>
      <c r="E131" s="155">
        <f t="shared" si="15"/>
        <v>3.8185271747359695E-2</v>
      </c>
      <c r="F131" s="155">
        <f t="shared" si="15"/>
        <v>-98.741583609131339</v>
      </c>
      <c r="G131" s="155">
        <f t="shared" si="15"/>
        <v>0.29533521193453738</v>
      </c>
      <c r="H131" s="155">
        <f t="shared" si="15"/>
        <v>1.5400342693595803E-2</v>
      </c>
      <c r="I131" s="155">
        <f>SUM(Table2B.3_AQ_Dif92[[#This Row],[NOX]:[VOC]])</f>
        <v>-98.034123798815031</v>
      </c>
    </row>
    <row r="132" spans="2:9">
      <c r="B132" s="134">
        <f>First_Year+'Q_Appendix B. Project Info'!B53</f>
        <v>2056</v>
      </c>
      <c r="C132" s="155">
        <f t="shared" si="15"/>
        <v>0.36100175632409082</v>
      </c>
      <c r="D132" s="155">
        <f t="shared" si="15"/>
        <v>-1.0203717457601263E-3</v>
      </c>
      <c r="E132" s="155">
        <f t="shared" si="15"/>
        <v>3.7704435783546097E-2</v>
      </c>
      <c r="F132" s="155">
        <f t="shared" si="15"/>
        <v>-103.50073274990427</v>
      </c>
      <c r="G132" s="155">
        <f t="shared" si="15"/>
        <v>0.29544088008879243</v>
      </c>
      <c r="H132" s="155">
        <f t="shared" si="15"/>
        <v>1.2960534306765581E-2</v>
      </c>
      <c r="I132" s="155">
        <f>SUM(Table2B.3_AQ_Dif92[[#This Row],[NOX]:[VOC]])</f>
        <v>-102.79464551514684</v>
      </c>
    </row>
    <row r="133" spans="2:9">
      <c r="B133" s="134">
        <f>First_Year+'Q_Appendix B. Project Info'!B54</f>
        <v>2057</v>
      </c>
      <c r="C133" s="155">
        <f t="shared" si="15"/>
        <v>0.36247422601187118</v>
      </c>
      <c r="D133" s="155">
        <f t="shared" si="15"/>
        <v>-1.0504407960228584E-3</v>
      </c>
      <c r="E133" s="155">
        <f t="shared" si="15"/>
        <v>3.72235998197325E-2</v>
      </c>
      <c r="F133" s="155">
        <f t="shared" si="15"/>
        <v>-108.25988189067721</v>
      </c>
      <c r="G133" s="155">
        <f t="shared" si="15"/>
        <v>0.29554654824304749</v>
      </c>
      <c r="H133" s="155">
        <f t="shared" si="15"/>
        <v>1.0520725919935359E-2</v>
      </c>
      <c r="I133" s="155">
        <f>SUM(Table2B.3_AQ_Dif92[[#This Row],[NOX]:[VOC]])</f>
        <v>-107.55516723147863</v>
      </c>
    </row>
    <row r="134" spans="2:9">
      <c r="B134" s="134">
        <f>First_Year+'Q_Appendix B. Project Info'!B55</f>
        <v>2058</v>
      </c>
      <c r="C134" s="155">
        <f t="shared" si="15"/>
        <v>0.3639466956996551</v>
      </c>
      <c r="D134" s="155">
        <f t="shared" si="15"/>
        <v>-1.0805098462857016E-3</v>
      </c>
      <c r="E134" s="155">
        <f t="shared" si="15"/>
        <v>3.674276385591918E-2</v>
      </c>
      <c r="F134" s="155">
        <f t="shared" si="15"/>
        <v>-113.01903103141194</v>
      </c>
      <c r="G134" s="155">
        <f t="shared" si="15"/>
        <v>0.29565221639730366</v>
      </c>
      <c r="H134" s="155">
        <f t="shared" si="15"/>
        <v>8.0809175331006955E-3</v>
      </c>
      <c r="I134" s="155">
        <f>SUM(Table2B.3_AQ_Dif92[[#This Row],[NOX]:[VOC]])</f>
        <v>-112.31568894777224</v>
      </c>
    </row>
    <row r="135" spans="2:9">
      <c r="B135" s="134" t="s">
        <v>28</v>
      </c>
      <c r="C135" s="201">
        <f>SUBTOTAL(109,Table2B.3_AQ_Dif92[NOX])</f>
        <v>10.597649161871162</v>
      </c>
      <c r="D135" s="201">
        <f>SUBTOTAL(109,Table2B.3_AQ_Dif92[SOx])</f>
        <v>-1.9513696862682992E-2</v>
      </c>
      <c r="E135" s="201">
        <f>SUBTOTAL(109,Table2B.3_AQ_Dif92[PM2.5])</f>
        <v>1.3626144027068092</v>
      </c>
      <c r="F135" s="201">
        <f>SUBTOTAL(109,Table2B.3_AQ_Dif92[CO2])</f>
        <v>-1290.585611515502</v>
      </c>
      <c r="G135" s="201">
        <f>SUBTOTAL(109,Table2B.3_AQ_Dif92[PM10])</f>
        <v>9.1160830165877744</v>
      </c>
      <c r="H135" s="201">
        <f>SUBTOTAL(109,Table2B.3_AQ_Dif92[VOC])</f>
        <v>1.3850193434023081</v>
      </c>
      <c r="I135" s="202">
        <f>SUBTOTAL(109,Table2B.3_AQ_Dif92[Total])</f>
        <v>-1268.1437592877967</v>
      </c>
    </row>
    <row r="137" spans="2:9">
      <c r="B137" s="63" t="s">
        <v>144</v>
      </c>
    </row>
    <row r="139" spans="2:9">
      <c r="B139" s="133" t="s">
        <v>21</v>
      </c>
      <c r="C139" s="145" t="s">
        <v>130</v>
      </c>
      <c r="D139" s="145" t="s">
        <v>122</v>
      </c>
      <c r="E139" s="145" t="s">
        <v>131</v>
      </c>
      <c r="F139" s="145" t="s">
        <v>132</v>
      </c>
      <c r="G139" s="145" t="s">
        <v>133</v>
      </c>
      <c r="H139" s="145" t="s">
        <v>126</v>
      </c>
      <c r="I139" s="145" t="s">
        <v>28</v>
      </c>
    </row>
    <row r="140" spans="2:9">
      <c r="B140" s="134">
        <f>First_Year+'Q_Appendix B. Project Info'!B20</f>
        <v>2023</v>
      </c>
      <c r="C140" s="414">
        <f>IFERROR(IF(Table2B.4_AQ_Dollars93[[#This Row],[Year]]&gt;Closeout,(C99*INDEX(TableA6_Emissions121[#All],MATCH(Table2B.4_AQ_Dollars93[[#This Row],[Year]],TableA6_Emissions121[Year],0),MATCH(Table2B.4_AQ_Dollars93[[#Headers],[NOX]],TableA6_Emissions121[#Headers],0))),0),0)</f>
        <v>0</v>
      </c>
      <c r="D140" s="414">
        <f>IFERROR(IF(Table2B.4_AQ_Dollars93[[#This Row],[Year]]&gt;Closeout,(D99*INDEX(TableA6_Emissions121[#All],MATCH(Table2B.4_AQ_Dollars93[[#This Row],[Year]],TableA6_Emissions121[Year],0),MATCH(Table2B.4_AQ_Dollars93[[#Headers],[SOx]],TableA6_Emissions121[#Headers],0))),0),0)</f>
        <v>0</v>
      </c>
      <c r="E140" s="414">
        <f>IFERROR(IF(Table2B.4_AQ_Dollars93[[#This Row],[Year]]&gt;Closeout,(E99*INDEX(TableA6_Emissions121[#All],MATCH(Table2B.4_AQ_Dollars93[[#This Row],[Year]],TableA6_Emissions121[Year],0),MATCH(Table2B.4_AQ_Dollars93[[#Headers],[PM2.5]],TableA6_Emissions121[#Headers],0))),0),0)</f>
        <v>0</v>
      </c>
      <c r="F140" s="414">
        <f>IFERROR(IF(Table2B.4_AQ_Dollars93[[#This Row],[Year]]&gt;Closeout,F99*INDEX(TableA6_Emissions121[#All],MATCH(Table2B.4_AQ_Dollars93[[#This Row],[Year]],TableA6_Emissions121[Year],0),MATCH(Table2B.4_AQ_Dollars93[[#Headers],[CO2]],TableA6_Emissions121[#Headers],0)),0),0)</f>
        <v>0</v>
      </c>
      <c r="G140" s="414">
        <f>IFERROR(G99*INDEX(TableA6_Emissions121[#All],MATCH(Table2B.4_AQ_Dollars93[[#This Row],[Year]],TableA6_Emissions121[Year],0),MATCH(Table2B.4_AQ_Dollars93[[#Headers],[PM10]],TableA6_Emissions121[#Headers],0)),0)</f>
        <v>0</v>
      </c>
      <c r="H140" s="414">
        <f>IFERROR(H99*INDEX(TableA6_Emissions121[#All],MATCH(Table2B.4_AQ_Dollars93[[#This Row],[Year]],TableA6_Emissions121[Year],0),MATCH(Table2B.4_AQ_Dollars93[[#Headers],[VOC]],TableA6_Emissions121[#Headers],0)),0)</f>
        <v>0</v>
      </c>
      <c r="I140" s="414">
        <f>SUM(Table2B.4_AQ_Dollars93[[#This Row],[NOX]:[VOC]])</f>
        <v>0</v>
      </c>
    </row>
    <row r="141" spans="2:9">
      <c r="B141" s="134">
        <f>First_Year+'Q_Appendix B. Project Info'!B21</f>
        <v>2024</v>
      </c>
      <c r="C141" s="414">
        <f>IFERROR(IF(Table2B.4_AQ_Dollars93[[#This Row],[Year]]&gt;Closeout,(C100*INDEX(TableA6_Emissions121[#All],MATCH(Table2B.4_AQ_Dollars93[[#This Row],[Year]],TableA6_Emissions121[Year],0),MATCH(Table2B.4_AQ_Dollars93[[#Headers],[NOX]],TableA6_Emissions121[#Headers],0))),0),0)</f>
        <v>0</v>
      </c>
      <c r="D141" s="414">
        <f>IFERROR(IF(Table2B.4_AQ_Dollars93[[#This Row],[Year]]&gt;Closeout,(D100*INDEX(TableA6_Emissions121[#All],MATCH(Table2B.4_AQ_Dollars93[[#This Row],[Year]],TableA6_Emissions121[Year],0),MATCH(Table2B.4_AQ_Dollars93[[#Headers],[SOx]],TableA6_Emissions121[#Headers],0))),0),0)</f>
        <v>0</v>
      </c>
      <c r="E141" s="414">
        <f>IFERROR(IF(Table2B.4_AQ_Dollars93[[#This Row],[Year]]&gt;Closeout,(E100*INDEX(TableA6_Emissions121[#All],MATCH(Table2B.4_AQ_Dollars93[[#This Row],[Year]],TableA6_Emissions121[Year],0),MATCH(Table2B.4_AQ_Dollars93[[#Headers],[PM2.5]],TableA6_Emissions121[#Headers],0))),0),0)</f>
        <v>0</v>
      </c>
      <c r="F141" s="414">
        <f>IFERROR(IF(Table2B.4_AQ_Dollars93[[#This Row],[Year]]&gt;Closeout,F100*INDEX(TableA6_Emissions121[#All],MATCH(Table2B.4_AQ_Dollars93[[#This Row],[Year]],TableA6_Emissions121[Year],0),MATCH(Table2B.4_AQ_Dollars93[[#Headers],[CO2]],TableA6_Emissions121[#Headers],0)),0),0)</f>
        <v>0</v>
      </c>
      <c r="G141" s="414">
        <f>IFERROR(G100*INDEX(TableA6_Emissions121[#All],MATCH(Table2B.4_AQ_Dollars93[[#This Row],[Year]],TableA6_Emissions121[Year],0),MATCH(Table2B.4_AQ_Dollars93[[#Headers],[PM10]],TableA6_Emissions121[#Headers],0)),0)</f>
        <v>0</v>
      </c>
      <c r="H141" s="414">
        <f>IFERROR(H100*INDEX(TableA6_Emissions121[#All],MATCH(Table2B.4_AQ_Dollars93[[#This Row],[Year]],TableA6_Emissions121[Year],0),MATCH(Table2B.4_AQ_Dollars93[[#Headers],[VOC]],TableA6_Emissions121[#Headers],0)),0)</f>
        <v>0</v>
      </c>
      <c r="I141" s="414">
        <f>SUM(Table2B.4_AQ_Dollars93[[#This Row],[NOX]:[VOC]])</f>
        <v>0</v>
      </c>
    </row>
    <row r="142" spans="2:9">
      <c r="B142" s="134">
        <f>First_Year+'Q_Appendix B. Project Info'!B22</f>
        <v>2025</v>
      </c>
      <c r="C142" s="414">
        <f>IFERROR(IF(Table2B.4_AQ_Dollars93[[#This Row],[Year]]&gt;Closeout,(C101*INDEX(TableA6_Emissions121[#All],MATCH(Table2B.4_AQ_Dollars93[[#This Row],[Year]],TableA6_Emissions121[Year],0),MATCH(Table2B.4_AQ_Dollars93[[#Headers],[NOX]],TableA6_Emissions121[#Headers],0))),0),0)</f>
        <v>0</v>
      </c>
      <c r="D142" s="414">
        <f>IFERROR(IF(Table2B.4_AQ_Dollars93[[#This Row],[Year]]&gt;Closeout,(D101*INDEX(TableA6_Emissions121[#All],MATCH(Table2B.4_AQ_Dollars93[[#This Row],[Year]],TableA6_Emissions121[Year],0),MATCH(Table2B.4_AQ_Dollars93[[#Headers],[SOx]],TableA6_Emissions121[#Headers],0))),0),0)</f>
        <v>0</v>
      </c>
      <c r="E142" s="414">
        <f>IFERROR(IF(Table2B.4_AQ_Dollars93[[#This Row],[Year]]&gt;Closeout,(E101*INDEX(TableA6_Emissions121[#All],MATCH(Table2B.4_AQ_Dollars93[[#This Row],[Year]],TableA6_Emissions121[Year],0),MATCH(Table2B.4_AQ_Dollars93[[#Headers],[PM2.5]],TableA6_Emissions121[#Headers],0))),0),0)</f>
        <v>0</v>
      </c>
      <c r="F142" s="414">
        <f>IFERROR(IF(Table2B.4_AQ_Dollars93[[#This Row],[Year]]&gt;Closeout,F101*INDEX(TableA6_Emissions121[#All],MATCH(Table2B.4_AQ_Dollars93[[#This Row],[Year]],TableA6_Emissions121[Year],0),MATCH(Table2B.4_AQ_Dollars93[[#Headers],[CO2]],TableA6_Emissions121[#Headers],0)),0),0)</f>
        <v>0</v>
      </c>
      <c r="G142" s="414">
        <f>IFERROR(G101*INDEX(TableA6_Emissions121[#All],MATCH(Table2B.4_AQ_Dollars93[[#This Row],[Year]],TableA6_Emissions121[Year],0),MATCH(Table2B.4_AQ_Dollars93[[#Headers],[PM10]],TableA6_Emissions121[#Headers],0)),0)</f>
        <v>0</v>
      </c>
      <c r="H142" s="414">
        <f>IFERROR(H101*INDEX(TableA6_Emissions121[#All],MATCH(Table2B.4_AQ_Dollars93[[#This Row],[Year]],TableA6_Emissions121[Year],0),MATCH(Table2B.4_AQ_Dollars93[[#Headers],[VOC]],TableA6_Emissions121[#Headers],0)),0)</f>
        <v>0</v>
      </c>
      <c r="I142" s="414">
        <f>SUM(Table2B.4_AQ_Dollars93[[#This Row],[NOX]:[VOC]])</f>
        <v>0</v>
      </c>
    </row>
    <row r="143" spans="2:9">
      <c r="B143" s="134">
        <f>First_Year+'Q_Appendix B. Project Info'!B23</f>
        <v>2026</v>
      </c>
      <c r="C143" s="414">
        <f>IFERROR(IF(Table2B.4_AQ_Dollars93[[#This Row],[Year]]&gt;Closeout,(C102*INDEX(TableA6_Emissions121[#All],MATCH(Table2B.4_AQ_Dollars93[[#This Row],[Year]],TableA6_Emissions121[Year],0),MATCH(Table2B.4_AQ_Dollars93[[#Headers],[NOX]],TableA6_Emissions121[#Headers],0))),0),0)</f>
        <v>0</v>
      </c>
      <c r="D143" s="414">
        <f>IFERROR(IF(Table2B.4_AQ_Dollars93[[#This Row],[Year]]&gt;Closeout,(D102*INDEX(TableA6_Emissions121[#All],MATCH(Table2B.4_AQ_Dollars93[[#This Row],[Year]],TableA6_Emissions121[Year],0),MATCH(Table2B.4_AQ_Dollars93[[#Headers],[SOx]],TableA6_Emissions121[#Headers],0))),0),0)</f>
        <v>0</v>
      </c>
      <c r="E143" s="414">
        <f>IFERROR(IF(Table2B.4_AQ_Dollars93[[#This Row],[Year]]&gt;Closeout,(E102*INDEX(TableA6_Emissions121[#All],MATCH(Table2B.4_AQ_Dollars93[[#This Row],[Year]],TableA6_Emissions121[Year],0),MATCH(Table2B.4_AQ_Dollars93[[#Headers],[PM2.5]],TableA6_Emissions121[#Headers],0))),0),0)</f>
        <v>0</v>
      </c>
      <c r="F143" s="414">
        <f>IFERROR(IF(Table2B.4_AQ_Dollars93[[#This Row],[Year]]&gt;Closeout,F102*INDEX(TableA6_Emissions121[#All],MATCH(Table2B.4_AQ_Dollars93[[#This Row],[Year]],TableA6_Emissions121[Year],0),MATCH(Table2B.4_AQ_Dollars93[[#Headers],[CO2]],TableA6_Emissions121[#Headers],0)),0),0)</f>
        <v>0</v>
      </c>
      <c r="G143" s="414">
        <f>IFERROR(G102*INDEX(TableA6_Emissions121[#All],MATCH(Table2B.4_AQ_Dollars93[[#This Row],[Year]],TableA6_Emissions121[Year],0),MATCH(Table2B.4_AQ_Dollars93[[#Headers],[PM10]],TableA6_Emissions121[#Headers],0)),0)</f>
        <v>0</v>
      </c>
      <c r="H143" s="414">
        <f>IFERROR(H102*INDEX(TableA6_Emissions121[#All],MATCH(Table2B.4_AQ_Dollars93[[#This Row],[Year]],TableA6_Emissions121[Year],0),MATCH(Table2B.4_AQ_Dollars93[[#Headers],[VOC]],TableA6_Emissions121[#Headers],0)),0)</f>
        <v>0</v>
      </c>
      <c r="I143" s="414">
        <f>SUM(Table2B.4_AQ_Dollars93[[#This Row],[NOX]:[VOC]])</f>
        <v>0</v>
      </c>
    </row>
    <row r="144" spans="2:9">
      <c r="B144" s="134">
        <f>First_Year+'Q_Appendix B. Project Info'!B24</f>
        <v>2027</v>
      </c>
      <c r="C144" s="414">
        <f>IFERROR(IF(Table2B.4_AQ_Dollars93[[#This Row],[Year]]&gt;Closeout,(C103*INDEX(TableA6_Emissions121[#All],MATCH(Table2B.4_AQ_Dollars93[[#This Row],[Year]],TableA6_Emissions121[Year],0),MATCH(Table2B.4_AQ_Dollars93[[#Headers],[NOX]],TableA6_Emissions121[#Headers],0))),0),0)</f>
        <v>0</v>
      </c>
      <c r="D144" s="414">
        <f>IFERROR(IF(Table2B.4_AQ_Dollars93[[#This Row],[Year]]&gt;Closeout,(D103*INDEX(TableA6_Emissions121[#All],MATCH(Table2B.4_AQ_Dollars93[[#This Row],[Year]],TableA6_Emissions121[Year],0),MATCH(Table2B.4_AQ_Dollars93[[#Headers],[SOx]],TableA6_Emissions121[#Headers],0))),0),0)</f>
        <v>0</v>
      </c>
      <c r="E144" s="414">
        <f>IFERROR(IF(Table2B.4_AQ_Dollars93[[#This Row],[Year]]&gt;Closeout,(E103*INDEX(TableA6_Emissions121[#All],MATCH(Table2B.4_AQ_Dollars93[[#This Row],[Year]],TableA6_Emissions121[Year],0),MATCH(Table2B.4_AQ_Dollars93[[#Headers],[PM2.5]],TableA6_Emissions121[#Headers],0))),0),0)</f>
        <v>0</v>
      </c>
      <c r="F144" s="414">
        <f>IFERROR(IF(Table2B.4_AQ_Dollars93[[#This Row],[Year]]&gt;Closeout,F103*INDEX(TableA6_Emissions121[#All],MATCH(Table2B.4_AQ_Dollars93[[#This Row],[Year]],TableA6_Emissions121[Year],0),MATCH(Table2B.4_AQ_Dollars93[[#Headers],[CO2]],TableA6_Emissions121[#Headers],0)),0),0)</f>
        <v>0</v>
      </c>
      <c r="G144" s="414">
        <f>IFERROR(G103*INDEX(TableA6_Emissions121[#All],MATCH(Table2B.4_AQ_Dollars93[[#This Row],[Year]],TableA6_Emissions121[Year],0),MATCH(Table2B.4_AQ_Dollars93[[#Headers],[PM10]],TableA6_Emissions121[#Headers],0)),0)</f>
        <v>0</v>
      </c>
      <c r="H144" s="414">
        <f>IFERROR(H103*INDEX(TableA6_Emissions121[#All],MATCH(Table2B.4_AQ_Dollars93[[#This Row],[Year]],TableA6_Emissions121[Year],0),MATCH(Table2B.4_AQ_Dollars93[[#Headers],[VOC]],TableA6_Emissions121[#Headers],0)),0)</f>
        <v>0</v>
      </c>
      <c r="I144" s="414">
        <f>SUM(Table2B.4_AQ_Dollars93[[#This Row],[NOX]:[VOC]])</f>
        <v>0</v>
      </c>
    </row>
    <row r="145" spans="2:9">
      <c r="B145" s="134">
        <f>First_Year+'Q_Appendix B. Project Info'!B25</f>
        <v>2028</v>
      </c>
      <c r="C145" s="414">
        <f>IFERROR(IF(Table2B.4_AQ_Dollars93[[#This Row],[Year]]&gt;Closeout,(C104*INDEX(TableA6_Emissions121[#All],MATCH(Table2B.4_AQ_Dollars93[[#This Row],[Year]],TableA6_Emissions121[Year],0),MATCH(Table2B.4_AQ_Dollars93[[#Headers],[NOX]],TableA6_Emissions121[#Headers],0))),0),0)</f>
        <v>5723.9296306854922</v>
      </c>
      <c r="D145" s="414">
        <f>IFERROR(IF(Table2B.4_AQ_Dollars93[[#This Row],[Year]]&gt;Closeout,(D104*INDEX(TableA6_Emissions121[#All],MATCH(Table2B.4_AQ_Dollars93[[#This Row],[Year]],TableA6_Emissions121[Year],0),MATCH(Table2B.4_AQ_Dollars93[[#Headers],[SOx]],TableA6_Emissions121[#Headers],0))),0),0)</f>
        <v>-8.6899470802566618</v>
      </c>
      <c r="E145" s="414">
        <f>IFERROR(IF(Table2B.4_AQ_Dollars93[[#This Row],[Year]]&gt;Closeout,(E104*INDEX(TableA6_Emissions121[#All],MATCH(Table2B.4_AQ_Dollars93[[#This Row],[Year]],TableA6_Emissions121[Year],0),MATCH(Table2B.4_AQ_Dollars93[[#Headers],[PM2.5]],TableA6_Emissions121[#Headers],0))),0),0)</f>
        <v>44290.884701994895</v>
      </c>
      <c r="F145" s="414">
        <f>IFERROR(IF(Table2B.4_AQ_Dollars93[[#This Row],[Year]]&gt;Closeout,F104*INDEX(TableA6_Emissions121[#All],MATCH(Table2B.4_AQ_Dollars93[[#This Row],[Year]],TableA6_Emissions121[Year],0),MATCH(Table2B.4_AQ_Dollars93[[#Headers],[CO2]],TableA6_Emissions121[#Headers],0)),0),0)</f>
        <v>1815.0820346960099</v>
      </c>
      <c r="G145" s="414">
        <f>IFERROR(G104*INDEX(TableA6_Emissions121[#All],MATCH(Table2B.4_AQ_Dollars93[[#This Row],[Year]],TableA6_Emissions121[Year],0),MATCH(Table2B.4_AQ_Dollars93[[#Headers],[PM10]],TableA6_Emissions121[#Headers],0)),0)</f>
        <v>0</v>
      </c>
      <c r="H145" s="414">
        <f>IFERROR(H104*INDEX(TableA6_Emissions121[#All],MATCH(Table2B.4_AQ_Dollars93[[#This Row],[Year]],TableA6_Emissions121[Year],0),MATCH(Table2B.4_AQ_Dollars93[[#Headers],[VOC]],TableA6_Emissions121[#Headers],0)),0)</f>
        <v>0</v>
      </c>
      <c r="I145" s="215">
        <f>SUM(Table2B.4_AQ_Dollars93[[#This Row],[NOX]:[VOC]])</f>
        <v>51821.206420296141</v>
      </c>
    </row>
    <row r="146" spans="2:9">
      <c r="B146" s="134">
        <f>First_Year+'Q_Appendix B. Project Info'!B26</f>
        <v>2029</v>
      </c>
      <c r="C146" s="414">
        <f>IFERROR(IF(Table2B.4_AQ_Dollars93[[#This Row],[Year]]&gt;Closeout,(C105*INDEX(TableA6_Emissions121[#All],MATCH(Table2B.4_AQ_Dollars93[[#This Row],[Year]],TableA6_Emissions121[Year],0),MATCH(Table2B.4_AQ_Dollars93[[#Headers],[NOX]],TableA6_Emissions121[#Headers],0))),0),0)</f>
        <v>5846.660360522972</v>
      </c>
      <c r="D146" s="414">
        <f>IFERROR(IF(Table2B.4_AQ_Dollars93[[#This Row],[Year]]&gt;Closeout,(D105*INDEX(TableA6_Emissions121[#All],MATCH(Table2B.4_AQ_Dollars93[[#This Row],[Year]],TableA6_Emissions121[Year],0),MATCH(Table2B.4_AQ_Dollars93[[#Headers],[SOx]],TableA6_Emissions121[#Headers],0))),0),0)</f>
        <v>-10.321115738984803</v>
      </c>
      <c r="E146" s="414">
        <f>IFERROR(IF(Table2B.4_AQ_Dollars93[[#This Row],[Year]]&gt;Closeout,(E105*INDEX(TableA6_Emissions121[#All],MATCH(Table2B.4_AQ_Dollars93[[#This Row],[Year]],TableA6_Emissions121[Year],0),MATCH(Table2B.4_AQ_Dollars93[[#Headers],[PM2.5]],TableA6_Emissions121[#Headers],0))),0),0)</f>
        <v>44574.15378564773</v>
      </c>
      <c r="F146" s="414">
        <f>IFERROR(IF(Table2B.4_AQ_Dollars93[[#This Row],[Year]]&gt;Closeout,F105*INDEX(TableA6_Emissions121[#All],MATCH(Table2B.4_AQ_Dollars93[[#This Row],[Year]],TableA6_Emissions121[Year],0),MATCH(Table2B.4_AQ_Dollars93[[#Headers],[CO2]],TableA6_Emissions121[#Headers],0)),0),0)</f>
        <v>1549.7702311598259</v>
      </c>
      <c r="G146" s="414">
        <f>IFERROR(G105*INDEX(TableA6_Emissions121[#All],MATCH(Table2B.4_AQ_Dollars93[[#This Row],[Year]],TableA6_Emissions121[Year],0),MATCH(Table2B.4_AQ_Dollars93[[#Headers],[PM10]],TableA6_Emissions121[#Headers],0)),0)</f>
        <v>0</v>
      </c>
      <c r="H146" s="414">
        <f>IFERROR(H105*INDEX(TableA6_Emissions121[#All],MATCH(Table2B.4_AQ_Dollars93[[#This Row],[Year]],TableA6_Emissions121[Year],0),MATCH(Table2B.4_AQ_Dollars93[[#Headers],[VOC]],TableA6_Emissions121[#Headers],0)),0)</f>
        <v>0</v>
      </c>
      <c r="I146" s="215">
        <f>SUM(Table2B.4_AQ_Dollars93[[#This Row],[NOX]:[VOC]])</f>
        <v>51960.263261591543</v>
      </c>
    </row>
    <row r="147" spans="2:9">
      <c r="B147" s="134">
        <f>First_Year+'Q_Appendix B. Project Info'!B27</f>
        <v>2030</v>
      </c>
      <c r="C147" s="414">
        <f>IFERROR(IF(Table2B.4_AQ_Dollars93[[#This Row],[Year]]&gt;Closeout,(C106*INDEX(TableA6_Emissions121[#All],MATCH(Table2B.4_AQ_Dollars93[[#This Row],[Year]],TableA6_Emissions121[Year],0),MATCH(Table2B.4_AQ_Dollars93[[#Headers],[NOX]],TableA6_Emissions121[#Headers],0))),0),0)</f>
        <v>6002.5463266172983</v>
      </c>
      <c r="D147" s="414">
        <f>IFERROR(IF(Table2B.4_AQ_Dollars93[[#This Row],[Year]]&gt;Closeout,(D106*INDEX(TableA6_Emissions121[#All],MATCH(Table2B.4_AQ_Dollars93[[#This Row],[Year]],TableA6_Emissions121[Year],0),MATCH(Table2B.4_AQ_Dollars93[[#Headers],[SOx]],TableA6_Emissions121[#Headers],0))),0),0)</f>
        <v>-12.024252522026224</v>
      </c>
      <c r="E147" s="414">
        <f>IFERROR(IF(Table2B.4_AQ_Dollars93[[#This Row],[Year]]&gt;Closeout,(E106*INDEX(TableA6_Emissions121[#All],MATCH(Table2B.4_AQ_Dollars93[[#This Row],[Year]],TableA6_Emissions121[Year],0),MATCH(Table2B.4_AQ_Dollars93[[#Headers],[PM2.5]],TableA6_Emissions121[#Headers],0))),0),0)</f>
        <v>44854.193030867849</v>
      </c>
      <c r="F147" s="414">
        <f>IFERROR(IF(Table2B.4_AQ_Dollars93[[#This Row],[Year]]&gt;Closeout,F106*INDEX(TableA6_Emissions121[#All],MATCH(Table2B.4_AQ_Dollars93[[#This Row],[Year]],TableA6_Emissions121[Year],0),MATCH(Table2B.4_AQ_Dollars93[[#Headers],[CO2]],TableA6_Emissions121[#Headers],0)),0),0)</f>
        <v>1274.940129342096</v>
      </c>
      <c r="G147" s="414">
        <f>IFERROR(G106*INDEX(TableA6_Emissions121[#All],MATCH(Table2B.4_AQ_Dollars93[[#This Row],[Year]],TableA6_Emissions121[Year],0),MATCH(Table2B.4_AQ_Dollars93[[#Headers],[PM10]],TableA6_Emissions121[#Headers],0)),0)</f>
        <v>0</v>
      </c>
      <c r="H147" s="414">
        <f>IFERROR(H106*INDEX(TableA6_Emissions121[#All],MATCH(Table2B.4_AQ_Dollars93[[#This Row],[Year]],TableA6_Emissions121[Year],0),MATCH(Table2B.4_AQ_Dollars93[[#Headers],[VOC]],TableA6_Emissions121[#Headers],0)),0)</f>
        <v>0</v>
      </c>
      <c r="I147" s="215">
        <f>SUM(Table2B.4_AQ_Dollars93[[#This Row],[NOX]:[VOC]])</f>
        <v>52119.655234305217</v>
      </c>
    </row>
    <row r="148" spans="2:9">
      <c r="B148" s="134">
        <f>First_Year+'Q_Appendix B. Project Info'!B28</f>
        <v>2031</v>
      </c>
      <c r="C148" s="414">
        <f>IFERROR(IF(Table2B.4_AQ_Dollars93[[#This Row],[Year]]&gt;Closeout,(C107*INDEX(TableA6_Emissions121[#All],MATCH(Table2B.4_AQ_Dollars93[[#This Row],[Year]],TableA6_Emissions121[Year],0),MATCH(Table2B.4_AQ_Dollars93[[#Headers],[NOX]],TableA6_Emissions121[#Headers],0))),0),0)</f>
        <v>6127.1912670488928</v>
      </c>
      <c r="D148" s="414">
        <f>IFERROR(IF(Table2B.4_AQ_Dollars93[[#This Row],[Year]]&gt;Closeout,(D107*INDEX(TableA6_Emissions121[#All],MATCH(Table2B.4_AQ_Dollars93[[#This Row],[Year]],TableA6_Emissions121[Year],0),MATCH(Table2B.4_AQ_Dollars93[[#Headers],[SOx]],TableA6_Emissions121[#Headers],0))),0),0)</f>
        <v>-13.781513595540563</v>
      </c>
      <c r="E148" s="414">
        <f>IFERROR(IF(Table2B.4_AQ_Dollars93[[#This Row],[Year]]&gt;Closeout,(E107*INDEX(TableA6_Emissions121[#All],MATCH(Table2B.4_AQ_Dollars93[[#This Row],[Year]],TableA6_Emissions121[Year],0),MATCH(Table2B.4_AQ_Dollars93[[#Headers],[PM2.5]],TableA6_Emissions121[#Headers],0))),0),0)</f>
        <v>45130.713936076958</v>
      </c>
      <c r="F148" s="414">
        <f>IFERROR(IF(Table2B.4_AQ_Dollars93[[#This Row],[Year]]&gt;Closeout,F107*INDEX(TableA6_Emissions121[#All],MATCH(Table2B.4_AQ_Dollars93[[#This Row],[Year]],TableA6_Emissions121[Year],0),MATCH(Table2B.4_AQ_Dollars93[[#Headers],[CO2]],TableA6_Emissions121[#Headers],0)),0),0)</f>
        <v>1006.0697250122394</v>
      </c>
      <c r="G148" s="414">
        <f>IFERROR(G107*INDEX(TableA6_Emissions121[#All],MATCH(Table2B.4_AQ_Dollars93[[#This Row],[Year]],TableA6_Emissions121[Year],0),MATCH(Table2B.4_AQ_Dollars93[[#Headers],[PM10]],TableA6_Emissions121[#Headers],0)),0)</f>
        <v>0</v>
      </c>
      <c r="H148" s="414">
        <f>IFERROR(H107*INDEX(TableA6_Emissions121[#All],MATCH(Table2B.4_AQ_Dollars93[[#This Row],[Year]],TableA6_Emissions121[Year],0),MATCH(Table2B.4_AQ_Dollars93[[#Headers],[VOC]],TableA6_Emissions121[#Headers],0)),0)</f>
        <v>0</v>
      </c>
      <c r="I148" s="215">
        <f>SUM(Table2B.4_AQ_Dollars93[[#This Row],[NOX]:[VOC]])</f>
        <v>52250.193414542548</v>
      </c>
    </row>
    <row r="149" spans="2:9">
      <c r="B149" s="134">
        <f>First_Year+'Q_Appendix B. Project Info'!B29</f>
        <v>2032</v>
      </c>
      <c r="C149" s="414">
        <f>IFERROR(IF(Table2B.4_AQ_Dollars93[[#This Row],[Year]]&gt;Closeout,(C108*INDEX(TableA6_Emissions121[#All],MATCH(Table2B.4_AQ_Dollars93[[#This Row],[Year]],TableA6_Emissions121[Year],0),MATCH(Table2B.4_AQ_Dollars93[[#Headers],[NOX]],TableA6_Emissions121[#Headers],0))),0),0)</f>
        <v>6155.0209441479501</v>
      </c>
      <c r="D149" s="414">
        <f>IFERROR(IF(Table2B.4_AQ_Dollars93[[#This Row],[Year]]&gt;Closeout,(D108*INDEX(TableA6_Emissions121[#All],MATCH(Table2B.4_AQ_Dollars93[[#This Row],[Year]],TableA6_Emissions121[Year],0),MATCH(Table2B.4_AQ_Dollars93[[#Headers],[SOx]],TableA6_Emissions121[#Headers],0))),0),0)</f>
        <v>-15.32405587401872</v>
      </c>
      <c r="E149" s="414">
        <f>IFERROR(IF(Table2B.4_AQ_Dollars93[[#This Row],[Year]]&gt;Closeout,(E108*INDEX(TableA6_Emissions121[#All],MATCH(Table2B.4_AQ_Dollars93[[#This Row],[Year]],TableA6_Emissions121[Year],0),MATCH(Table2B.4_AQ_Dollars93[[#Headers],[PM2.5]],TableA6_Emissions121[#Headers],0))),0),0)</f>
        <v>44694.307215319743</v>
      </c>
      <c r="F149" s="414">
        <f>IFERROR(IF(Table2B.4_AQ_Dollars93[[#This Row],[Year]]&gt;Closeout,F108*INDEX(TableA6_Emissions121[#All],MATCH(Table2B.4_AQ_Dollars93[[#This Row],[Year]],TableA6_Emissions121[Year],0),MATCH(Table2B.4_AQ_Dollars93[[#Headers],[CO2]],TableA6_Emissions121[#Headers],0)),0),0)</f>
        <v>707.44387749064481</v>
      </c>
      <c r="G149" s="414">
        <f>IFERROR(G108*INDEX(TableA6_Emissions121[#All],MATCH(Table2B.4_AQ_Dollars93[[#This Row],[Year]],TableA6_Emissions121[Year],0),MATCH(Table2B.4_AQ_Dollars93[[#Headers],[PM10]],TableA6_Emissions121[#Headers],0)),0)</f>
        <v>0</v>
      </c>
      <c r="H149" s="414">
        <f>IFERROR(H108*INDEX(TableA6_Emissions121[#All],MATCH(Table2B.4_AQ_Dollars93[[#This Row],[Year]],TableA6_Emissions121[Year],0),MATCH(Table2B.4_AQ_Dollars93[[#Headers],[VOC]],TableA6_Emissions121[#Headers],0)),0)</f>
        <v>0</v>
      </c>
      <c r="I149" s="215">
        <f>SUM(Table2B.4_AQ_Dollars93[[#This Row],[NOX]:[VOC]])</f>
        <v>51541.447981084319</v>
      </c>
    </row>
    <row r="150" spans="2:9">
      <c r="B150" s="134">
        <f>First_Year+'Q_Appendix B. Project Info'!B30</f>
        <v>2033</v>
      </c>
      <c r="C150" s="414">
        <f>IFERROR(IF(Table2B.4_AQ_Dollars93[[#This Row],[Year]]&gt;Closeout,(C109*INDEX(TableA6_Emissions121[#All],MATCH(Table2B.4_AQ_Dollars93[[#This Row],[Year]],TableA6_Emissions121[Year],0),MATCH(Table2B.4_AQ_Dollars93[[#Headers],[NOX]],TableA6_Emissions121[#Headers],0))),0),0)</f>
        <v>6182.8506212470074</v>
      </c>
      <c r="D150" s="414">
        <f>IFERROR(IF(Table2B.4_AQ_Dollars93[[#This Row],[Year]]&gt;Closeout,(D109*INDEX(TableA6_Emissions121[#All],MATCH(Table2B.4_AQ_Dollars93[[#This Row],[Year]],TableA6_Emissions121[Year],0),MATCH(Table2B.4_AQ_Dollars93[[#Headers],[SOx]],TableA6_Emissions121[#Headers],0))),0),0)</f>
        <v>-16.866598152496877</v>
      </c>
      <c r="E150" s="414">
        <f>IFERROR(IF(Table2B.4_AQ_Dollars93[[#This Row],[Year]]&gt;Closeout,(E109*INDEX(TableA6_Emissions121[#All],MATCH(Table2B.4_AQ_Dollars93[[#This Row],[Year]],TableA6_Emissions121[Year],0),MATCH(Table2B.4_AQ_Dollars93[[#Headers],[PM2.5]],TableA6_Emissions121[#Headers],0))),0),0)</f>
        <v>44257.90049456252</v>
      </c>
      <c r="F150" s="414">
        <f>IFERROR(IF(Table2B.4_AQ_Dollars93[[#This Row],[Year]]&gt;Closeout,F109*INDEX(TableA6_Emissions121[#All],MATCH(Table2B.4_AQ_Dollars93[[#This Row],[Year]],TableA6_Emissions121[Year],0),MATCH(Table2B.4_AQ_Dollars93[[#Headers],[CO2]],TableA6_Emissions121[#Headers],0)),0),0)</f>
        <v>399.29973168750439</v>
      </c>
      <c r="G150" s="414">
        <f>IFERROR(G109*INDEX(TableA6_Emissions121[#All],MATCH(Table2B.4_AQ_Dollars93[[#This Row],[Year]],TableA6_Emissions121[Year],0),MATCH(Table2B.4_AQ_Dollars93[[#Headers],[PM10]],TableA6_Emissions121[#Headers],0)),0)</f>
        <v>0</v>
      </c>
      <c r="H150" s="414">
        <f>IFERROR(H109*INDEX(TableA6_Emissions121[#All],MATCH(Table2B.4_AQ_Dollars93[[#This Row],[Year]],TableA6_Emissions121[Year],0),MATCH(Table2B.4_AQ_Dollars93[[#Headers],[VOC]],TableA6_Emissions121[#Headers],0)),0)</f>
        <v>0</v>
      </c>
      <c r="I150" s="215">
        <f>SUM(Table2B.4_AQ_Dollars93[[#This Row],[NOX]:[VOC]])</f>
        <v>50823.184249344537</v>
      </c>
    </row>
    <row r="151" spans="2:9">
      <c r="B151" s="134">
        <f>First_Year+'Q_Appendix B. Project Info'!B31</f>
        <v>2034</v>
      </c>
      <c r="C151" s="414">
        <f>IFERROR(IF(Table2B.4_AQ_Dollars93[[#This Row],[Year]]&gt;Closeout,(C110*INDEX(TableA6_Emissions121[#All],MATCH(Table2B.4_AQ_Dollars93[[#This Row],[Year]],TableA6_Emissions121[Year],0),MATCH(Table2B.4_AQ_Dollars93[[#Headers],[NOX]],TableA6_Emissions121[#Headers],0))),0),0)</f>
        <v>6210.6802983460648</v>
      </c>
      <c r="D151" s="414">
        <f>IFERROR(IF(Table2B.4_AQ_Dollars93[[#This Row],[Year]]&gt;Closeout,(D110*INDEX(TableA6_Emissions121[#All],MATCH(Table2B.4_AQ_Dollars93[[#This Row],[Year]],TableA6_Emissions121[Year],0),MATCH(Table2B.4_AQ_Dollars93[[#Headers],[SOx]],TableA6_Emissions121[#Headers],0))),0),0)</f>
        <v>-18.409140430975032</v>
      </c>
      <c r="E151" s="414">
        <f>IFERROR(IF(Table2B.4_AQ_Dollars93[[#This Row],[Year]]&gt;Closeout,(E110*INDEX(TableA6_Emissions121[#All],MATCH(Table2B.4_AQ_Dollars93[[#This Row],[Year]],TableA6_Emissions121[Year],0),MATCH(Table2B.4_AQ_Dollars93[[#Headers],[PM2.5]],TableA6_Emissions121[#Headers],0))),0),0)</f>
        <v>43821.493773805298</v>
      </c>
      <c r="F151" s="414">
        <f>IFERROR(IF(Table2B.4_AQ_Dollars93[[#This Row],[Year]]&gt;Closeout,F110*INDEX(TableA6_Emissions121[#All],MATCH(Table2B.4_AQ_Dollars93[[#This Row],[Year]],TableA6_Emissions121[Year],0),MATCH(Table2B.4_AQ_Dollars93[[#Headers],[CO2]],TableA6_Emissions121[#Headers],0)),0),0)</f>
        <v>81.637287602818105</v>
      </c>
      <c r="G151" s="414">
        <f>IFERROR(G110*INDEX(TableA6_Emissions121[#All],MATCH(Table2B.4_AQ_Dollars93[[#This Row],[Year]],TableA6_Emissions121[Year],0),MATCH(Table2B.4_AQ_Dollars93[[#Headers],[PM10]],TableA6_Emissions121[#Headers],0)),0)</f>
        <v>0</v>
      </c>
      <c r="H151" s="414">
        <f>IFERROR(H110*INDEX(TableA6_Emissions121[#All],MATCH(Table2B.4_AQ_Dollars93[[#This Row],[Year]],TableA6_Emissions121[Year],0),MATCH(Table2B.4_AQ_Dollars93[[#Headers],[VOC]],TableA6_Emissions121[#Headers],0)),0)</f>
        <v>0</v>
      </c>
      <c r="I151" s="414">
        <f>SUM(Table2B.4_AQ_Dollars93[[#This Row],[NOX]:[VOC]])</f>
        <v>50095.402219323209</v>
      </c>
    </row>
    <row r="152" spans="2:9">
      <c r="B152" s="134">
        <f>First_Year+'Q_Appendix B. Project Info'!B32</f>
        <v>2035</v>
      </c>
      <c r="C152" s="414">
        <f>IFERROR(IF(Table2B.4_AQ_Dollars93[[#This Row],[Year]]&gt;Closeout,(C111*INDEX(TableA6_Emissions121[#All],MATCH(Table2B.4_AQ_Dollars93[[#This Row],[Year]],TableA6_Emissions121[Year],0),MATCH(Table2B.4_AQ_Dollars93[[#Headers],[NOX]],TableA6_Emissions121[#Headers],0))),0),0)</f>
        <v>6238.5099754451221</v>
      </c>
      <c r="D152" s="414">
        <f>IFERROR(IF(Table2B.4_AQ_Dollars93[[#This Row],[Year]]&gt;Closeout,(D111*INDEX(TableA6_Emissions121[#All],MATCH(Table2B.4_AQ_Dollars93[[#This Row],[Year]],TableA6_Emissions121[Year],0),MATCH(Table2B.4_AQ_Dollars93[[#Headers],[SOx]],TableA6_Emissions121[#Headers],0))),0),0)</f>
        <v>-19.951682709453191</v>
      </c>
      <c r="E152" s="414">
        <f>IFERROR(IF(Table2B.4_AQ_Dollars93[[#This Row],[Year]]&gt;Closeout,(E111*INDEX(TableA6_Emissions121[#All],MATCH(Table2B.4_AQ_Dollars93[[#This Row],[Year]],TableA6_Emissions121[Year],0),MATCH(Table2B.4_AQ_Dollars93[[#Headers],[PM2.5]],TableA6_Emissions121[#Headers],0))),0),0)</f>
        <v>43385.087053048075</v>
      </c>
      <c r="F152" s="414">
        <f>IFERROR(IF(Table2B.4_AQ_Dollars93[[#This Row],[Year]]&gt;Closeout,F111*INDEX(TableA6_Emissions121[#All],MATCH(Table2B.4_AQ_Dollars93[[#This Row],[Year]],TableA6_Emissions121[Year],0),MATCH(Table2B.4_AQ_Dollars93[[#Headers],[CO2]],TableA6_Emissions121[#Headers],0)),0),0)</f>
        <v>-245.54345476341405</v>
      </c>
      <c r="G152" s="414">
        <f>IFERROR(G111*INDEX(TableA6_Emissions121[#All],MATCH(Table2B.4_AQ_Dollars93[[#This Row],[Year]],TableA6_Emissions121[Year],0),MATCH(Table2B.4_AQ_Dollars93[[#Headers],[PM10]],TableA6_Emissions121[#Headers],0)),0)</f>
        <v>0</v>
      </c>
      <c r="H152" s="414">
        <f>IFERROR(H111*INDEX(TableA6_Emissions121[#All],MATCH(Table2B.4_AQ_Dollars93[[#This Row],[Year]],TableA6_Emissions121[Year],0),MATCH(Table2B.4_AQ_Dollars93[[#Headers],[VOC]],TableA6_Emissions121[#Headers],0)),0)</f>
        <v>0</v>
      </c>
      <c r="I152" s="414">
        <f>SUM(Table2B.4_AQ_Dollars93[[#This Row],[NOX]:[VOC]])</f>
        <v>49358.101891020327</v>
      </c>
    </row>
    <row r="153" spans="2:9">
      <c r="B153" s="134">
        <f>First_Year+'Q_Appendix B. Project Info'!B33</f>
        <v>2036</v>
      </c>
      <c r="C153" s="414">
        <f>IFERROR(IF(Table2B.4_AQ_Dollars93[[#This Row],[Year]]&gt;Closeout,(C112*INDEX(TableA6_Emissions121[#All],MATCH(Table2B.4_AQ_Dollars93[[#This Row],[Year]],TableA6_Emissions121[Year],0),MATCH(Table2B.4_AQ_Dollars93[[#Headers],[NOX]],TableA6_Emissions121[#Headers],0))),0),0)</f>
        <v>6266.3396525441794</v>
      </c>
      <c r="D153" s="414">
        <f>IFERROR(IF(Table2B.4_AQ_Dollars93[[#This Row],[Year]]&gt;Closeout,(D112*INDEX(TableA6_Emissions121[#All],MATCH(Table2B.4_AQ_Dollars93[[#This Row],[Year]],TableA6_Emissions121[Year],0),MATCH(Table2B.4_AQ_Dollars93[[#Headers],[SOx]],TableA6_Emissions121[#Headers],0))),0),0)</f>
        <v>-21.494224987931347</v>
      </c>
      <c r="E153" s="414">
        <f>IFERROR(IF(Table2B.4_AQ_Dollars93[[#This Row],[Year]]&gt;Closeout,(E112*INDEX(TableA6_Emissions121[#All],MATCH(Table2B.4_AQ_Dollars93[[#This Row],[Year]],TableA6_Emissions121[Year],0),MATCH(Table2B.4_AQ_Dollars93[[#Headers],[PM2.5]],TableA6_Emissions121[#Headers],0))),0),0)</f>
        <v>42948.680332290853</v>
      </c>
      <c r="F153" s="414">
        <f>IFERROR(IF(Table2B.4_AQ_Dollars93[[#This Row],[Year]]&gt;Closeout,F112*INDEX(TableA6_Emissions121[#All],MATCH(Table2B.4_AQ_Dollars93[[#This Row],[Year]],TableA6_Emissions121[Year],0),MATCH(Table2B.4_AQ_Dollars93[[#Headers],[CO2]],TableA6_Emissions121[#Headers],0)),0),0)</f>
        <v>-582.24249541119207</v>
      </c>
      <c r="G153" s="414">
        <f>IFERROR(G112*INDEX(TableA6_Emissions121[#All],MATCH(Table2B.4_AQ_Dollars93[[#This Row],[Year]],TableA6_Emissions121[Year],0),MATCH(Table2B.4_AQ_Dollars93[[#Headers],[PM10]],TableA6_Emissions121[#Headers],0)),0)</f>
        <v>0</v>
      </c>
      <c r="H153" s="414">
        <f>IFERROR(H112*INDEX(TableA6_Emissions121[#All],MATCH(Table2B.4_AQ_Dollars93[[#This Row],[Year]],TableA6_Emissions121[Year],0),MATCH(Table2B.4_AQ_Dollars93[[#Headers],[VOC]],TableA6_Emissions121[#Headers],0)),0)</f>
        <v>0</v>
      </c>
      <c r="I153" s="414">
        <f>SUM(Table2B.4_AQ_Dollars93[[#This Row],[NOX]:[VOC]])</f>
        <v>48611.283264435908</v>
      </c>
    </row>
    <row r="154" spans="2:9">
      <c r="B154" s="134">
        <f>First_Year+'Q_Appendix B. Project Info'!B34</f>
        <v>2037</v>
      </c>
      <c r="C154" s="414">
        <f>IFERROR(IF(Table2B.4_AQ_Dollars93[[#This Row],[Year]]&gt;Closeout,(C113*INDEX(TableA6_Emissions121[#All],MATCH(Table2B.4_AQ_Dollars93[[#This Row],[Year]],TableA6_Emissions121[Year],0),MATCH(Table2B.4_AQ_Dollars93[[#Headers],[NOX]],TableA6_Emissions121[#Headers],0))),0),0)</f>
        <v>6294.1693296432368</v>
      </c>
      <c r="D154" s="414">
        <f>IFERROR(IF(Table2B.4_AQ_Dollars93[[#This Row],[Year]]&gt;Closeout,(D113*INDEX(TableA6_Emissions121[#All],MATCH(Table2B.4_AQ_Dollars93[[#This Row],[Year]],TableA6_Emissions121[Year],0),MATCH(Table2B.4_AQ_Dollars93[[#Headers],[SOx]],TableA6_Emissions121[#Headers],0))),0),0)</f>
        <v>-23.036767266409505</v>
      </c>
      <c r="E154" s="414">
        <f>IFERROR(IF(Table2B.4_AQ_Dollars93[[#This Row],[Year]]&gt;Closeout,(E113*INDEX(TableA6_Emissions121[#All],MATCH(Table2B.4_AQ_Dollars93[[#This Row],[Year]],TableA6_Emissions121[Year],0),MATCH(Table2B.4_AQ_Dollars93[[#Headers],[PM2.5]],TableA6_Emissions121[#Headers],0))),0),0)</f>
        <v>42512.273611533637</v>
      </c>
      <c r="F154" s="414">
        <f>IFERROR(IF(Table2B.4_AQ_Dollars93[[#This Row],[Year]]&gt;Closeout,F113*INDEX(TableA6_Emissions121[#All],MATCH(Table2B.4_AQ_Dollars93[[#This Row],[Year]],TableA6_Emissions121[Year],0),MATCH(Table2B.4_AQ_Dollars93[[#Headers],[CO2]],TableA6_Emissions121[#Headers],0)),0),0)</f>
        <v>-941.53673341573449</v>
      </c>
      <c r="G154" s="414">
        <f>IFERROR(G113*INDEX(TableA6_Emissions121[#All],MATCH(Table2B.4_AQ_Dollars93[[#This Row],[Year]],TableA6_Emissions121[Year],0),MATCH(Table2B.4_AQ_Dollars93[[#Headers],[PM10]],TableA6_Emissions121[#Headers],0)),0)</f>
        <v>0</v>
      </c>
      <c r="H154" s="414">
        <f>IFERROR(H113*INDEX(TableA6_Emissions121[#All],MATCH(Table2B.4_AQ_Dollars93[[#This Row],[Year]],TableA6_Emissions121[Year],0),MATCH(Table2B.4_AQ_Dollars93[[#Headers],[VOC]],TableA6_Emissions121[#Headers],0)),0)</f>
        <v>0</v>
      </c>
      <c r="I154" s="414">
        <f>SUM(Table2B.4_AQ_Dollars93[[#This Row],[NOX]:[VOC]])</f>
        <v>47841.869440494731</v>
      </c>
    </row>
    <row r="155" spans="2:9">
      <c r="B155" s="134">
        <f>First_Year+'Q_Appendix B. Project Info'!B35</f>
        <v>2038</v>
      </c>
      <c r="C155" s="414">
        <f>IFERROR(IF(Table2B.4_AQ_Dollars93[[#This Row],[Year]]&gt;Closeout,(C114*INDEX(TableA6_Emissions121[#All],MATCH(Table2B.4_AQ_Dollars93[[#This Row],[Year]],TableA6_Emissions121[Year],0),MATCH(Table2B.4_AQ_Dollars93[[#Headers],[NOX]],TableA6_Emissions121[#Headers],0))),0),0)</f>
        <v>6321.9990067422941</v>
      </c>
      <c r="D155" s="414">
        <f>IFERROR(IF(Table2B.4_AQ_Dollars93[[#This Row],[Year]]&gt;Closeout,(D114*INDEX(TableA6_Emissions121[#All],MATCH(Table2B.4_AQ_Dollars93[[#This Row],[Year]],TableA6_Emissions121[Year],0),MATCH(Table2B.4_AQ_Dollars93[[#Headers],[SOx]],TableA6_Emissions121[#Headers],0))),0),0)</f>
        <v>-24.579309544887661</v>
      </c>
      <c r="E155" s="414">
        <f>IFERROR(IF(Table2B.4_AQ_Dollars93[[#This Row],[Year]]&gt;Closeout,(E114*INDEX(TableA6_Emissions121[#All],MATCH(Table2B.4_AQ_Dollars93[[#This Row],[Year]],TableA6_Emissions121[Year],0),MATCH(Table2B.4_AQ_Dollars93[[#Headers],[PM2.5]],TableA6_Emissions121[#Headers],0))),0),0)</f>
        <v>42075.866890776415</v>
      </c>
      <c r="F155" s="414">
        <f>IFERROR(IF(Table2B.4_AQ_Dollars93[[#This Row],[Year]]&gt;Closeout,F114*INDEX(TableA6_Emissions121[#All],MATCH(Table2B.4_AQ_Dollars93[[#This Row],[Year]],TableA6_Emissions121[Year],0),MATCH(Table2B.4_AQ_Dollars93[[#Headers],[CO2]],TableA6_Emissions121[#Headers],0)),0),0)</f>
        <v>-1302.0315197673772</v>
      </c>
      <c r="G155" s="414">
        <f>IFERROR(G114*INDEX(TableA6_Emissions121[#All],MATCH(Table2B.4_AQ_Dollars93[[#This Row],[Year]],TableA6_Emissions121[Year],0),MATCH(Table2B.4_AQ_Dollars93[[#Headers],[PM10]],TableA6_Emissions121[#Headers],0)),0)</f>
        <v>0</v>
      </c>
      <c r="H155" s="414">
        <f>IFERROR(H114*INDEX(TableA6_Emissions121[#All],MATCH(Table2B.4_AQ_Dollars93[[#This Row],[Year]],TableA6_Emissions121[Year],0),MATCH(Table2B.4_AQ_Dollars93[[#Headers],[VOC]],TableA6_Emissions121[#Headers],0)),0)</f>
        <v>0</v>
      </c>
      <c r="I155" s="414">
        <f>SUM(Table2B.4_AQ_Dollars93[[#This Row],[NOX]:[VOC]])</f>
        <v>47071.255068206447</v>
      </c>
    </row>
    <row r="156" spans="2:9">
      <c r="B156" s="134">
        <f>First_Year+'Q_Appendix B. Project Info'!B36</f>
        <v>2039</v>
      </c>
      <c r="C156" s="414">
        <f>IFERROR(IF(Table2B.4_AQ_Dollars93[[#This Row],[Year]]&gt;Closeout,(C115*INDEX(TableA6_Emissions121[#All],MATCH(Table2B.4_AQ_Dollars93[[#This Row],[Year]],TableA6_Emissions121[Year],0),MATCH(Table2B.4_AQ_Dollars93[[#Headers],[NOX]],TableA6_Emissions121[#Headers],0))),0),0)</f>
        <v>6349.8286838413514</v>
      </c>
      <c r="D156" s="414">
        <f>IFERROR(IF(Table2B.4_AQ_Dollars93[[#This Row],[Year]]&gt;Closeout,(D115*INDEX(TableA6_Emissions121[#All],MATCH(Table2B.4_AQ_Dollars93[[#This Row],[Year]],TableA6_Emissions121[Year],0),MATCH(Table2B.4_AQ_Dollars93[[#Headers],[SOx]],TableA6_Emissions121[#Headers],0))),0),0)</f>
        <v>-26.121851823365816</v>
      </c>
      <c r="E156" s="414">
        <f>IFERROR(IF(Table2B.4_AQ_Dollars93[[#This Row],[Year]]&gt;Closeout,(E115*INDEX(TableA6_Emissions121[#All],MATCH(Table2B.4_AQ_Dollars93[[#This Row],[Year]],TableA6_Emissions121[Year],0),MATCH(Table2B.4_AQ_Dollars93[[#Headers],[PM2.5]],TableA6_Emissions121[#Headers],0))),0),0)</f>
        <v>41639.460170019192</v>
      </c>
      <c r="F156" s="414">
        <f>IFERROR(IF(Table2B.4_AQ_Dollars93[[#This Row],[Year]]&gt;Closeout,F115*INDEX(TableA6_Emissions121[#All],MATCH(Table2B.4_AQ_Dollars93[[#This Row],[Year]],TableA6_Emissions121[Year],0),MATCH(Table2B.4_AQ_Dollars93[[#Headers],[CO2]],TableA6_Emissions121[#Headers],0)),0),0)</f>
        <v>-1672.0446044005657</v>
      </c>
      <c r="G156" s="414">
        <f>IFERROR(G115*INDEX(TableA6_Emissions121[#All],MATCH(Table2B.4_AQ_Dollars93[[#This Row],[Year]],TableA6_Emissions121[Year],0),MATCH(Table2B.4_AQ_Dollars93[[#Headers],[PM10]],TableA6_Emissions121[#Headers],0)),0)</f>
        <v>0</v>
      </c>
      <c r="H156" s="414">
        <f>IFERROR(H115*INDEX(TableA6_Emissions121[#All],MATCH(Table2B.4_AQ_Dollars93[[#This Row],[Year]],TableA6_Emissions121[Year],0),MATCH(Table2B.4_AQ_Dollars93[[#Headers],[VOC]],TableA6_Emissions121[#Headers],0)),0)</f>
        <v>0</v>
      </c>
      <c r="I156" s="414">
        <f>SUM(Table2B.4_AQ_Dollars93[[#This Row],[NOX]:[VOC]])</f>
        <v>46291.122397636616</v>
      </c>
    </row>
    <row r="157" spans="2:9">
      <c r="B157" s="134">
        <f>First_Year+'Q_Appendix B. Project Info'!B37</f>
        <v>2040</v>
      </c>
      <c r="C157" s="414">
        <f>IFERROR(IF(Table2B.4_AQ_Dollars93[[#This Row],[Year]]&gt;Closeout,(C116*INDEX(TableA6_Emissions121[#All],MATCH(Table2B.4_AQ_Dollars93[[#This Row],[Year]],TableA6_Emissions121[Year],0),MATCH(Table2B.4_AQ_Dollars93[[#Headers],[NOX]],TableA6_Emissions121[#Headers],0))),0),0)</f>
        <v>6377.6583609404079</v>
      </c>
      <c r="D157" s="414">
        <f>IFERROR(IF(Table2B.4_AQ_Dollars93[[#This Row],[Year]]&gt;Closeout,(D116*INDEX(TableA6_Emissions121[#All],MATCH(Table2B.4_AQ_Dollars93[[#This Row],[Year]],TableA6_Emissions121[Year],0),MATCH(Table2B.4_AQ_Dollars93[[#Headers],[SOx]],TableA6_Emissions121[#Headers],0))),0),0)</f>
        <v>-27.664394101843975</v>
      </c>
      <c r="E157" s="414">
        <f>IFERROR(IF(Table2B.4_AQ_Dollars93[[#This Row],[Year]]&gt;Closeout,(E116*INDEX(TableA6_Emissions121[#All],MATCH(Table2B.4_AQ_Dollars93[[#This Row],[Year]],TableA6_Emissions121[Year],0),MATCH(Table2B.4_AQ_Dollars93[[#Headers],[PM2.5]],TableA6_Emissions121[#Headers],0))),0),0)</f>
        <v>41203.05344926197</v>
      </c>
      <c r="F157" s="414">
        <f>IFERROR(IF(Table2B.4_AQ_Dollars93[[#This Row],[Year]]&gt;Closeout,F116*INDEX(TableA6_Emissions121[#All],MATCH(Table2B.4_AQ_Dollars93[[#This Row],[Year]],TableA6_Emissions121[Year],0),MATCH(Table2B.4_AQ_Dollars93[[#Headers],[CO2]],TableA6_Emissions121[#Headers],0)),0),0)</f>
        <v>-2051.5759873153002</v>
      </c>
      <c r="G157" s="414">
        <f>IFERROR(G116*INDEX(TableA6_Emissions121[#All],MATCH(Table2B.4_AQ_Dollars93[[#This Row],[Year]],TableA6_Emissions121[Year],0),MATCH(Table2B.4_AQ_Dollars93[[#Headers],[PM10]],TableA6_Emissions121[#Headers],0)),0)</f>
        <v>0</v>
      </c>
      <c r="H157" s="414">
        <f>IFERROR(H116*INDEX(TableA6_Emissions121[#All],MATCH(Table2B.4_AQ_Dollars93[[#This Row],[Year]],TableA6_Emissions121[Year],0),MATCH(Table2B.4_AQ_Dollars93[[#Headers],[VOC]],TableA6_Emissions121[#Headers],0)),0)</f>
        <v>0</v>
      </c>
      <c r="I157" s="414">
        <f>SUM(Table2B.4_AQ_Dollars93[[#This Row],[NOX]:[VOC]])</f>
        <v>45501.471428785233</v>
      </c>
    </row>
    <row r="158" spans="2:9">
      <c r="B158" s="134">
        <f>First_Year+'Q_Appendix B. Project Info'!B38</f>
        <v>2041</v>
      </c>
      <c r="C158" s="414">
        <f>IFERROR(IF(Table2B.4_AQ_Dollars93[[#This Row],[Year]]&gt;Closeout,(C117*INDEX(TableA6_Emissions121[#All],MATCH(Table2B.4_AQ_Dollars93[[#This Row],[Year]],TableA6_Emissions121[Year],0),MATCH(Table2B.4_AQ_Dollars93[[#Headers],[NOX]],TableA6_Emissions121[#Headers],0))),0),0)</f>
        <v>6405.4880380394652</v>
      </c>
      <c r="D158" s="414">
        <f>IFERROR(IF(Table2B.4_AQ_Dollars93[[#This Row],[Year]]&gt;Closeout,(D117*INDEX(TableA6_Emissions121[#All],MATCH(Table2B.4_AQ_Dollars93[[#This Row],[Year]],TableA6_Emissions121[Year],0),MATCH(Table2B.4_AQ_Dollars93[[#Headers],[SOx]],TableA6_Emissions121[#Headers],0))),0),0)</f>
        <v>-29.20693638032213</v>
      </c>
      <c r="E158" s="414">
        <f>IFERROR(IF(Table2B.4_AQ_Dollars93[[#This Row],[Year]]&gt;Closeout,(E117*INDEX(TableA6_Emissions121[#All],MATCH(Table2B.4_AQ_Dollars93[[#This Row],[Year]],TableA6_Emissions121[Year],0),MATCH(Table2B.4_AQ_Dollars93[[#Headers],[PM2.5]],TableA6_Emissions121[#Headers],0))),0),0)</f>
        <v>40766.646728504755</v>
      </c>
      <c r="F158" s="414">
        <f>IFERROR(IF(Table2B.4_AQ_Dollars93[[#This Row],[Year]]&gt;Closeout,F117*INDEX(TableA6_Emissions121[#All],MATCH(Table2B.4_AQ_Dollars93[[#This Row],[Year]],TableA6_Emissions121[Year],0),MATCH(Table2B.4_AQ_Dollars93[[#Headers],[CO2]],TableA6_Emissions121[#Headers],0)),0),0)</f>
        <v>-2440.6256685115804</v>
      </c>
      <c r="G158" s="414">
        <f>IFERROR(G117*INDEX(TableA6_Emissions121[#All],MATCH(Table2B.4_AQ_Dollars93[[#This Row],[Year]],TableA6_Emissions121[Year],0),MATCH(Table2B.4_AQ_Dollars93[[#Headers],[PM10]],TableA6_Emissions121[#Headers],0)),0)</f>
        <v>0</v>
      </c>
      <c r="H158" s="414">
        <f>IFERROR(H117*INDEX(TableA6_Emissions121[#All],MATCH(Table2B.4_AQ_Dollars93[[#This Row],[Year]],TableA6_Emissions121[Year],0),MATCH(Table2B.4_AQ_Dollars93[[#Headers],[VOC]],TableA6_Emissions121[#Headers],0)),0)</f>
        <v>0</v>
      </c>
      <c r="I158" s="414">
        <f>SUM(Table2B.4_AQ_Dollars93[[#This Row],[NOX]:[VOC]])</f>
        <v>44702.302161652318</v>
      </c>
    </row>
    <row r="159" spans="2:9">
      <c r="B159" s="134">
        <f>First_Year+'Q_Appendix B. Project Info'!B39</f>
        <v>2042</v>
      </c>
      <c r="C159" s="414">
        <f>IFERROR(IF(Table2B.4_AQ_Dollars93[[#This Row],[Year]]&gt;Closeout,(C118*INDEX(TableA6_Emissions121[#All],MATCH(Table2B.4_AQ_Dollars93[[#This Row],[Year]],TableA6_Emissions121[Year],0),MATCH(Table2B.4_AQ_Dollars93[[#Headers],[NOX]],TableA6_Emissions121[#Headers],0))),0),0)</f>
        <v>6433.3177151385225</v>
      </c>
      <c r="D159" s="414">
        <f>IFERROR(IF(Table2B.4_AQ_Dollars93[[#This Row],[Year]]&gt;Closeout,(D118*INDEX(TableA6_Emissions121[#All],MATCH(Table2B.4_AQ_Dollars93[[#This Row],[Year]],TableA6_Emissions121[Year],0),MATCH(Table2B.4_AQ_Dollars93[[#Headers],[SOx]],TableA6_Emissions121[#Headers],0))),0),0)</f>
        <v>-30.749478658800289</v>
      </c>
      <c r="E159" s="414">
        <f>IFERROR(IF(Table2B.4_AQ_Dollars93[[#This Row],[Year]]&gt;Closeout,(E118*INDEX(TableA6_Emissions121[#All],MATCH(Table2B.4_AQ_Dollars93[[#This Row],[Year]],TableA6_Emissions121[Year],0),MATCH(Table2B.4_AQ_Dollars93[[#Headers],[PM2.5]],TableA6_Emissions121[#Headers],0))),0),0)</f>
        <v>40330.240007747532</v>
      </c>
      <c r="F159" s="414">
        <f>IFERROR(IF(Table2B.4_AQ_Dollars93[[#This Row],[Year]]&gt;Closeout,F118*INDEX(TableA6_Emissions121[#All],MATCH(Table2B.4_AQ_Dollars93[[#This Row],[Year]],TableA6_Emissions121[Year],0),MATCH(Table2B.4_AQ_Dollars93[[#Headers],[CO2]],TableA6_Emissions121[#Headers],0)),0),0)</f>
        <v>-2876.0662927684898</v>
      </c>
      <c r="G159" s="414">
        <f>IFERROR(G118*INDEX(TableA6_Emissions121[#All],MATCH(Table2B.4_AQ_Dollars93[[#This Row],[Year]],TableA6_Emissions121[Year],0),MATCH(Table2B.4_AQ_Dollars93[[#Headers],[PM10]],TableA6_Emissions121[#Headers],0)),0)</f>
        <v>0</v>
      </c>
      <c r="H159" s="414">
        <f>IFERROR(H118*INDEX(TableA6_Emissions121[#All],MATCH(Table2B.4_AQ_Dollars93[[#This Row],[Year]],TableA6_Emissions121[Year],0),MATCH(Table2B.4_AQ_Dollars93[[#Headers],[VOC]],TableA6_Emissions121[#Headers],0)),0)</f>
        <v>0</v>
      </c>
      <c r="I159" s="414">
        <f>SUM(Table2B.4_AQ_Dollars93[[#This Row],[NOX]:[VOC]])</f>
        <v>43856.741951458767</v>
      </c>
    </row>
    <row r="160" spans="2:9">
      <c r="B160" s="134">
        <f>First_Year+'Q_Appendix B. Project Info'!B40</f>
        <v>2043</v>
      </c>
      <c r="C160" s="414">
        <f>IFERROR(IF(Table2B.4_AQ_Dollars93[[#This Row],[Year]]&gt;Closeout,(C119*INDEX(TableA6_Emissions121[#All],MATCH(Table2B.4_AQ_Dollars93[[#This Row],[Year]],TableA6_Emissions121[Year],0),MATCH(Table2B.4_AQ_Dollars93[[#Headers],[NOX]],TableA6_Emissions121[#Headers],0))),0),0)</f>
        <v>6461.1473922375799</v>
      </c>
      <c r="D160" s="414">
        <f>IFERROR(IF(Table2B.4_AQ_Dollars93[[#This Row],[Year]]&gt;Closeout,(D119*INDEX(TableA6_Emissions121[#All],MATCH(Table2B.4_AQ_Dollars93[[#This Row],[Year]],TableA6_Emissions121[Year],0),MATCH(Table2B.4_AQ_Dollars93[[#Headers],[SOx]],TableA6_Emissions121[#Headers],0))),0),0)</f>
        <v>-32.292020937278444</v>
      </c>
      <c r="E160" s="414">
        <f>IFERROR(IF(Table2B.4_AQ_Dollars93[[#This Row],[Year]]&gt;Closeout,(E119*INDEX(TableA6_Emissions121[#All],MATCH(Table2B.4_AQ_Dollars93[[#This Row],[Year]],TableA6_Emissions121[Year],0),MATCH(Table2B.4_AQ_Dollars93[[#Headers],[PM2.5]],TableA6_Emissions121[#Headers],0))),0),0)</f>
        <v>39893.83328699031</v>
      </c>
      <c r="F160" s="414">
        <f>IFERROR(IF(Table2B.4_AQ_Dollars93[[#This Row],[Year]]&gt;Closeout,F119*INDEX(TableA6_Emissions121[#All],MATCH(Table2B.4_AQ_Dollars93[[#This Row],[Year]],TableA6_Emissions121[Year],0),MATCH(Table2B.4_AQ_Dollars93[[#Headers],[CO2]],TableA6_Emissions121[#Headers],0)),0),0)</f>
        <v>-3288.9117196686348</v>
      </c>
      <c r="G160" s="414">
        <f>IFERROR(G119*INDEX(TableA6_Emissions121[#All],MATCH(Table2B.4_AQ_Dollars93[[#This Row],[Year]],TableA6_Emissions121[Year],0),MATCH(Table2B.4_AQ_Dollars93[[#Headers],[PM10]],TableA6_Emissions121[#Headers],0)),0)</f>
        <v>0</v>
      </c>
      <c r="H160" s="414">
        <f>IFERROR(H119*INDEX(TableA6_Emissions121[#All],MATCH(Table2B.4_AQ_Dollars93[[#This Row],[Year]],TableA6_Emissions121[Year],0),MATCH(Table2B.4_AQ_Dollars93[[#Headers],[VOC]],TableA6_Emissions121[#Headers],0)),0)</f>
        <v>0</v>
      </c>
      <c r="I160" s="414">
        <f>SUM(Table2B.4_AQ_Dollars93[[#This Row],[NOX]:[VOC]])</f>
        <v>43033.776938621973</v>
      </c>
    </row>
    <row r="161" spans="2:9">
      <c r="B161" s="134">
        <f>First_Year+'Q_Appendix B. Project Info'!B41</f>
        <v>2044</v>
      </c>
      <c r="C161" s="414">
        <f>IFERROR(IF(Table2B.4_AQ_Dollars93[[#This Row],[Year]]&gt;Closeout,(C120*INDEX(TableA6_Emissions121[#All],MATCH(Table2B.4_AQ_Dollars93[[#This Row],[Year]],TableA6_Emissions121[Year],0),MATCH(Table2B.4_AQ_Dollars93[[#Headers],[NOX]],TableA6_Emissions121[#Headers],0))),0),0)</f>
        <v>6488.9770693366372</v>
      </c>
      <c r="D161" s="414">
        <f>IFERROR(IF(Table2B.4_AQ_Dollars93[[#This Row],[Year]]&gt;Closeout,(D120*INDEX(TableA6_Emissions121[#All],MATCH(Table2B.4_AQ_Dollars93[[#This Row],[Year]],TableA6_Emissions121[Year],0),MATCH(Table2B.4_AQ_Dollars93[[#Headers],[SOx]],TableA6_Emissions121[#Headers],0))),0),0)</f>
        <v>-33.834563215756603</v>
      </c>
      <c r="E161" s="414">
        <f>IFERROR(IF(Table2B.4_AQ_Dollars93[[#This Row],[Year]]&gt;Closeout,(E120*INDEX(TableA6_Emissions121[#All],MATCH(Table2B.4_AQ_Dollars93[[#This Row],[Year]],TableA6_Emissions121[Year],0),MATCH(Table2B.4_AQ_Dollars93[[#Headers],[PM2.5]],TableA6_Emissions121[#Headers],0))),0),0)</f>
        <v>39457.426566233087</v>
      </c>
      <c r="F161" s="414">
        <f>IFERROR(IF(Table2B.4_AQ_Dollars93[[#This Row],[Year]]&gt;Closeout,F120*INDEX(TableA6_Emissions121[#All],MATCH(Table2B.4_AQ_Dollars93[[#This Row],[Year]],TableA6_Emissions121[Year],0),MATCH(Table2B.4_AQ_Dollars93[[#Headers],[CO2]],TableA6_Emissions121[#Headers],0)),0),0)</f>
        <v>-3711.2754448503256</v>
      </c>
      <c r="G161" s="414">
        <f>IFERROR(G120*INDEX(TableA6_Emissions121[#All],MATCH(Table2B.4_AQ_Dollars93[[#This Row],[Year]],TableA6_Emissions121[Year],0),MATCH(Table2B.4_AQ_Dollars93[[#Headers],[PM10]],TableA6_Emissions121[#Headers],0)),0)</f>
        <v>0</v>
      </c>
      <c r="H161" s="414">
        <f>IFERROR(H120*INDEX(TableA6_Emissions121[#All],MATCH(Table2B.4_AQ_Dollars93[[#This Row],[Year]],TableA6_Emissions121[Year],0),MATCH(Table2B.4_AQ_Dollars93[[#Headers],[VOC]],TableA6_Emissions121[#Headers],0)),0)</f>
        <v>0</v>
      </c>
      <c r="I161" s="414">
        <f>SUM(Table2B.4_AQ_Dollars93[[#This Row],[NOX]:[VOC]])</f>
        <v>42201.293627503641</v>
      </c>
    </row>
    <row r="162" spans="2:9">
      <c r="B162" s="134">
        <f>First_Year+'Q_Appendix B. Project Info'!B42</f>
        <v>2045</v>
      </c>
      <c r="C162" s="414">
        <f>IFERROR(IF(Table2B.4_AQ_Dollars93[[#This Row],[Year]]&gt;Closeout,(C121*INDEX(TableA6_Emissions121[#All],MATCH(Table2B.4_AQ_Dollars93[[#This Row],[Year]],TableA6_Emissions121[Year],0),MATCH(Table2B.4_AQ_Dollars93[[#Headers],[NOX]],TableA6_Emissions121[#Headers],0))),0),0)</f>
        <v>6516.8067464356945</v>
      </c>
      <c r="D162" s="414">
        <f>IFERROR(IF(Table2B.4_AQ_Dollars93[[#This Row],[Year]]&gt;Closeout,(D121*INDEX(TableA6_Emissions121[#All],MATCH(Table2B.4_AQ_Dollars93[[#This Row],[Year]],TableA6_Emissions121[Year],0),MATCH(Table2B.4_AQ_Dollars93[[#Headers],[SOx]],TableA6_Emissions121[#Headers],0))),0),0)</f>
        <v>-35.377105494234755</v>
      </c>
      <c r="E162" s="414">
        <f>IFERROR(IF(Table2B.4_AQ_Dollars93[[#This Row],[Year]]&gt;Closeout,(E121*INDEX(TableA6_Emissions121[#All],MATCH(Table2B.4_AQ_Dollars93[[#This Row],[Year]],TableA6_Emissions121[Year],0),MATCH(Table2B.4_AQ_Dollars93[[#Headers],[PM2.5]],TableA6_Emissions121[#Headers],0))),0),0)</f>
        <v>39021.019845475865</v>
      </c>
      <c r="F162" s="414">
        <f>IFERROR(IF(Table2B.4_AQ_Dollars93[[#This Row],[Year]]&gt;Closeout,F121*INDEX(TableA6_Emissions121[#All],MATCH(Table2B.4_AQ_Dollars93[[#This Row],[Year]],TableA6_Emissions121[Year],0),MATCH(Table2B.4_AQ_Dollars93[[#Headers],[CO2]],TableA6_Emissions121[#Headers],0)),0),0)</f>
        <v>-4143.1574683135623</v>
      </c>
      <c r="G162" s="414">
        <f>IFERROR(G121*INDEX(TableA6_Emissions121[#All],MATCH(Table2B.4_AQ_Dollars93[[#This Row],[Year]],TableA6_Emissions121[Year],0),MATCH(Table2B.4_AQ_Dollars93[[#Headers],[PM10]],TableA6_Emissions121[#Headers],0)),0)</f>
        <v>0</v>
      </c>
      <c r="H162" s="414">
        <f>IFERROR(H121*INDEX(TableA6_Emissions121[#All],MATCH(Table2B.4_AQ_Dollars93[[#This Row],[Year]],TableA6_Emissions121[Year],0),MATCH(Table2B.4_AQ_Dollars93[[#Headers],[VOC]],TableA6_Emissions121[#Headers],0)),0)</f>
        <v>0</v>
      </c>
      <c r="I162" s="414">
        <f>SUM(Table2B.4_AQ_Dollars93[[#This Row],[NOX]:[VOC]])</f>
        <v>41359.292018103763</v>
      </c>
    </row>
    <row r="163" spans="2:9">
      <c r="B163" s="134">
        <f>First_Year+'Q_Appendix B. Project Info'!B43</f>
        <v>2046</v>
      </c>
      <c r="C163" s="414">
        <f>IFERROR(IF(Table2B.4_AQ_Dollars93[[#This Row],[Year]]&gt;Closeout,(C122*INDEX(TableA6_Emissions121[#All],MATCH(Table2B.4_AQ_Dollars93[[#This Row],[Year]],TableA6_Emissions121[Year],0),MATCH(Table2B.4_AQ_Dollars93[[#Headers],[NOX]],TableA6_Emissions121[#Headers],0))),0),0)</f>
        <v>6544.6364235347519</v>
      </c>
      <c r="D163" s="414">
        <f>IFERROR(IF(Table2B.4_AQ_Dollars93[[#This Row],[Year]]&gt;Closeout,(D122*INDEX(TableA6_Emissions121[#All],MATCH(Table2B.4_AQ_Dollars93[[#This Row],[Year]],TableA6_Emissions121[Year],0),MATCH(Table2B.4_AQ_Dollars93[[#Headers],[SOx]],TableA6_Emissions121[#Headers],0))),0),0)</f>
        <v>-36.919647772712914</v>
      </c>
      <c r="E163" s="414">
        <f>IFERROR(IF(Table2B.4_AQ_Dollars93[[#This Row],[Year]]&gt;Closeout,(E122*INDEX(TableA6_Emissions121[#All],MATCH(Table2B.4_AQ_Dollars93[[#This Row],[Year]],TableA6_Emissions121[Year],0),MATCH(Table2B.4_AQ_Dollars93[[#Headers],[PM2.5]],TableA6_Emissions121[#Headers],0))),0),0)</f>
        <v>38584.613124718649</v>
      </c>
      <c r="F163" s="414">
        <f>IFERROR(IF(Table2B.4_AQ_Dollars93[[#This Row],[Year]]&gt;Closeout,F122*INDEX(TableA6_Emissions121[#All],MATCH(Table2B.4_AQ_Dollars93[[#This Row],[Year]],TableA6_Emissions121[Year],0),MATCH(Table2B.4_AQ_Dollars93[[#Headers],[CO2]],TableA6_Emissions121[#Headers],0)),0),0)</f>
        <v>-4584.5577900583448</v>
      </c>
      <c r="G163" s="414">
        <f>IFERROR(G122*INDEX(TableA6_Emissions121[#All],MATCH(Table2B.4_AQ_Dollars93[[#This Row],[Year]],TableA6_Emissions121[Year],0),MATCH(Table2B.4_AQ_Dollars93[[#Headers],[PM10]],TableA6_Emissions121[#Headers],0)),0)</f>
        <v>0</v>
      </c>
      <c r="H163" s="414">
        <f>IFERROR(H122*INDEX(TableA6_Emissions121[#All],MATCH(Table2B.4_AQ_Dollars93[[#This Row],[Year]],TableA6_Emissions121[Year],0),MATCH(Table2B.4_AQ_Dollars93[[#Headers],[VOC]],TableA6_Emissions121[#Headers],0)),0)</f>
        <v>0</v>
      </c>
      <c r="I163" s="414">
        <f>SUM(Table2B.4_AQ_Dollars93[[#This Row],[NOX]:[VOC]])</f>
        <v>40507.772110422346</v>
      </c>
    </row>
    <row r="164" spans="2:9">
      <c r="B164" s="134">
        <f>First_Year+'Q_Appendix B. Project Info'!B44</f>
        <v>2047</v>
      </c>
      <c r="C164" s="414">
        <f>IFERROR(IF(Table2B.4_AQ_Dollars93[[#This Row],[Year]]&gt;Closeout,(C123*INDEX(TableA6_Emissions121[#All],MATCH(Table2B.4_AQ_Dollars93[[#This Row],[Year]],TableA6_Emissions121[Year],0),MATCH(Table2B.4_AQ_Dollars93[[#Headers],[NOX]],TableA6_Emissions121[#Headers],0))),0),0)</f>
        <v>6572.4661006338092</v>
      </c>
      <c r="D164" s="414">
        <f>IFERROR(IF(Table2B.4_AQ_Dollars93[[#This Row],[Year]]&gt;Closeout,(D123*INDEX(TableA6_Emissions121[#All],MATCH(Table2B.4_AQ_Dollars93[[#This Row],[Year]],TableA6_Emissions121[Year],0),MATCH(Table2B.4_AQ_Dollars93[[#Headers],[SOx]],TableA6_Emissions121[#Headers],0))),0),0)</f>
        <v>-38.462190051191072</v>
      </c>
      <c r="E164" s="414">
        <f>IFERROR(IF(Table2B.4_AQ_Dollars93[[#This Row],[Year]]&gt;Closeout,(E123*INDEX(TableA6_Emissions121[#All],MATCH(Table2B.4_AQ_Dollars93[[#This Row],[Year]],TableA6_Emissions121[Year],0),MATCH(Table2B.4_AQ_Dollars93[[#Headers],[PM2.5]],TableA6_Emissions121[#Headers],0))),0),0)</f>
        <v>38148.206403961427</v>
      </c>
      <c r="F164" s="414">
        <f>IFERROR(IF(Table2B.4_AQ_Dollars93[[#This Row],[Year]]&gt;Closeout,F123*INDEX(TableA6_Emissions121[#All],MATCH(Table2B.4_AQ_Dollars93[[#This Row],[Year]],TableA6_Emissions121[Year],0),MATCH(Table2B.4_AQ_Dollars93[[#Headers],[CO2]],TableA6_Emissions121[#Headers],0)),0),0)</f>
        <v>-5096.1448005676211</v>
      </c>
      <c r="G164" s="414">
        <f>IFERROR(G123*INDEX(TableA6_Emissions121[#All],MATCH(Table2B.4_AQ_Dollars93[[#This Row],[Year]],TableA6_Emissions121[Year],0),MATCH(Table2B.4_AQ_Dollars93[[#Headers],[PM10]],TableA6_Emissions121[#Headers],0)),0)</f>
        <v>0</v>
      </c>
      <c r="H164" s="414">
        <f>IFERROR(H123*INDEX(TableA6_Emissions121[#All],MATCH(Table2B.4_AQ_Dollars93[[#This Row],[Year]],TableA6_Emissions121[Year],0),MATCH(Table2B.4_AQ_Dollars93[[#Headers],[VOC]],TableA6_Emissions121[#Headers],0)),0)</f>
        <v>0</v>
      </c>
      <c r="I164" s="414">
        <f>SUM(Table2B.4_AQ_Dollars93[[#This Row],[NOX]:[VOC]])</f>
        <v>39586.065513976428</v>
      </c>
    </row>
    <row r="165" spans="2:9">
      <c r="B165" s="134">
        <f>First_Year+'Q_Appendix B. Project Info'!B45</f>
        <v>2048</v>
      </c>
      <c r="C165" s="414">
        <f>IFERROR(IF(Table2B.4_AQ_Dollars93[[#This Row],[Year]]&gt;Closeout,(C124*INDEX(TableA6_Emissions121[#All],MATCH(Table2B.4_AQ_Dollars93[[#This Row],[Year]],TableA6_Emissions121[Year],0),MATCH(Table2B.4_AQ_Dollars93[[#Headers],[NOX]],TableA6_Emissions121[#Headers],0))),0),0)</f>
        <v>6600.2957777328666</v>
      </c>
      <c r="D165" s="414">
        <f>IFERROR(IF(Table2B.4_AQ_Dollars93[[#This Row],[Year]]&gt;Closeout,(D124*INDEX(TableA6_Emissions121[#All],MATCH(Table2B.4_AQ_Dollars93[[#This Row],[Year]],TableA6_Emissions121[Year],0),MATCH(Table2B.4_AQ_Dollars93[[#Headers],[SOx]],TableA6_Emissions121[#Headers],0))),0),0)</f>
        <v>-40.004732329669231</v>
      </c>
      <c r="E165" s="414">
        <f>IFERROR(IF(Table2B.4_AQ_Dollars93[[#This Row],[Year]]&gt;Closeout,(E124*INDEX(TableA6_Emissions121[#All],MATCH(Table2B.4_AQ_Dollars93[[#This Row],[Year]],TableA6_Emissions121[Year],0),MATCH(Table2B.4_AQ_Dollars93[[#Headers],[PM2.5]],TableA6_Emissions121[#Headers],0))),0),0)</f>
        <v>37711.799683204204</v>
      </c>
      <c r="F165" s="414">
        <f>IFERROR(IF(Table2B.4_AQ_Dollars93[[#This Row],[Year]]&gt;Closeout,F124*INDEX(TableA6_Emissions121[#All],MATCH(Table2B.4_AQ_Dollars93[[#This Row],[Year]],TableA6_Emissions121[Year],0),MATCH(Table2B.4_AQ_Dollars93[[#Headers],[CO2]],TableA6_Emissions121[#Headers],0)),0),0)</f>
        <v>-5561.3408680162684</v>
      </c>
      <c r="G165" s="414">
        <f>IFERROR(G124*INDEX(TableA6_Emissions121[#All],MATCH(Table2B.4_AQ_Dollars93[[#This Row],[Year]],TableA6_Emissions121[Year],0),MATCH(Table2B.4_AQ_Dollars93[[#Headers],[PM10]],TableA6_Emissions121[#Headers],0)),0)</f>
        <v>0</v>
      </c>
      <c r="H165" s="414">
        <f>IFERROR(H124*INDEX(TableA6_Emissions121[#All],MATCH(Table2B.4_AQ_Dollars93[[#This Row],[Year]],TableA6_Emissions121[Year],0),MATCH(Table2B.4_AQ_Dollars93[[#Headers],[VOC]],TableA6_Emissions121[#Headers],0)),0)</f>
        <v>0</v>
      </c>
      <c r="I165" s="414">
        <f>SUM(Table2B.4_AQ_Dollars93[[#This Row],[NOX]:[VOC]])</f>
        <v>38710.749860591131</v>
      </c>
    </row>
    <row r="166" spans="2:9">
      <c r="B166" s="134">
        <f>First_Year+'Q_Appendix B. Project Info'!B46</f>
        <v>2049</v>
      </c>
      <c r="C166" s="414">
        <f>IFERROR(IF(Table2B.4_AQ_Dollars93[[#This Row],[Year]]&gt;Closeout,(C125*INDEX(TableA6_Emissions121[#All],MATCH(Table2B.4_AQ_Dollars93[[#This Row],[Year]],TableA6_Emissions121[Year],0),MATCH(Table2B.4_AQ_Dollars93[[#Headers],[NOX]],TableA6_Emissions121[#Headers],0))),0),0)</f>
        <v>6628.1254548319239</v>
      </c>
      <c r="D166" s="414">
        <f>IFERROR(IF(Table2B.4_AQ_Dollars93[[#This Row],[Year]]&gt;Closeout,(D125*INDEX(TableA6_Emissions121[#All],MATCH(Table2B.4_AQ_Dollars93[[#This Row],[Year]],TableA6_Emissions121[Year],0),MATCH(Table2B.4_AQ_Dollars93[[#Headers],[SOx]],TableA6_Emissions121[#Headers],0))),0),0)</f>
        <v>-41.547274608147383</v>
      </c>
      <c r="E166" s="414">
        <f>IFERROR(IF(Table2B.4_AQ_Dollars93[[#This Row],[Year]]&gt;Closeout,(E125*INDEX(TableA6_Emissions121[#All],MATCH(Table2B.4_AQ_Dollars93[[#This Row],[Year]],TableA6_Emissions121[Year],0),MATCH(Table2B.4_AQ_Dollars93[[#Headers],[PM2.5]],TableA6_Emissions121[#Headers],0))),0),0)</f>
        <v>37275.392962446982</v>
      </c>
      <c r="F166" s="414">
        <f>IFERROR(IF(Table2B.4_AQ_Dollars93[[#This Row],[Year]]&gt;Closeout,F125*INDEX(TableA6_Emissions121[#All],MATCH(Table2B.4_AQ_Dollars93[[#This Row],[Year]],TableA6_Emissions121[Year],0),MATCH(Table2B.4_AQ_Dollars93[[#Headers],[CO2]],TableA6_Emissions121[#Headers],0)),0),0)</f>
        <v>-6036.0552337464615</v>
      </c>
      <c r="G166" s="414">
        <f>IFERROR(G125*INDEX(TableA6_Emissions121[#All],MATCH(Table2B.4_AQ_Dollars93[[#This Row],[Year]],TableA6_Emissions121[Year],0),MATCH(Table2B.4_AQ_Dollars93[[#Headers],[PM10]],TableA6_Emissions121[#Headers],0)),0)</f>
        <v>0</v>
      </c>
      <c r="H166" s="414">
        <f>IFERROR(H125*INDEX(TableA6_Emissions121[#All],MATCH(Table2B.4_AQ_Dollars93[[#This Row],[Year]],TableA6_Emissions121[Year],0),MATCH(Table2B.4_AQ_Dollars93[[#Headers],[VOC]],TableA6_Emissions121[#Headers],0)),0)</f>
        <v>0</v>
      </c>
      <c r="I166" s="414">
        <f>SUM(Table2B.4_AQ_Dollars93[[#This Row],[NOX]:[VOC]])</f>
        <v>37825.915908924297</v>
      </c>
    </row>
    <row r="167" spans="2:9">
      <c r="B167" s="134">
        <f>First_Year+'Q_Appendix B. Project Info'!B47</f>
        <v>2050</v>
      </c>
      <c r="C167" s="414">
        <f>IFERROR(IF(Table2B.4_AQ_Dollars93[[#This Row],[Year]]&gt;Closeout,(C126*INDEX(TableA6_Emissions121[#All],MATCH(Table2B.4_AQ_Dollars93[[#This Row],[Year]],TableA6_Emissions121[Year],0),MATCH(Table2B.4_AQ_Dollars93[[#Headers],[NOX]],TableA6_Emissions121[#Headers],0))),0),0)</f>
        <v>6655.9551319309812</v>
      </c>
      <c r="D167" s="414">
        <f>IFERROR(IF(Table2B.4_AQ_Dollars93[[#This Row],[Year]]&gt;Closeout,(D126*INDEX(TableA6_Emissions121[#All],MATCH(Table2B.4_AQ_Dollars93[[#This Row],[Year]],TableA6_Emissions121[Year],0),MATCH(Table2B.4_AQ_Dollars93[[#Headers],[SOx]],TableA6_Emissions121[#Headers],0))),0),0)</f>
        <v>-43.089816886625542</v>
      </c>
      <c r="E167" s="414">
        <f>IFERROR(IF(Table2B.4_AQ_Dollars93[[#This Row],[Year]]&gt;Closeout,(E126*INDEX(TableA6_Emissions121[#All],MATCH(Table2B.4_AQ_Dollars93[[#This Row],[Year]],TableA6_Emissions121[Year],0),MATCH(Table2B.4_AQ_Dollars93[[#Headers],[PM2.5]],TableA6_Emissions121[#Headers],0))),0),0)</f>
        <v>36838.986241689767</v>
      </c>
      <c r="F167" s="414">
        <f>IFERROR(IF(Table2B.4_AQ_Dollars93[[#This Row],[Year]]&gt;Closeout,F126*INDEX(TableA6_Emissions121[#All],MATCH(Table2B.4_AQ_Dollars93[[#This Row],[Year]],TableA6_Emissions121[Year],0),MATCH(Table2B.4_AQ_Dollars93[[#Headers],[CO2]],TableA6_Emissions121[#Headers],0)),0),0)</f>
        <v>-6520.2878977582004</v>
      </c>
      <c r="G167" s="414">
        <f>IFERROR(G126*INDEX(TableA6_Emissions121[#All],MATCH(Table2B.4_AQ_Dollars93[[#This Row],[Year]],TableA6_Emissions121[Year],0),MATCH(Table2B.4_AQ_Dollars93[[#Headers],[PM10]],TableA6_Emissions121[#Headers],0)),0)</f>
        <v>0</v>
      </c>
      <c r="H167" s="414">
        <f>IFERROR(H126*INDEX(TableA6_Emissions121[#All],MATCH(Table2B.4_AQ_Dollars93[[#This Row],[Year]],TableA6_Emissions121[Year],0),MATCH(Table2B.4_AQ_Dollars93[[#Headers],[VOC]],TableA6_Emissions121[#Headers],0)),0)</f>
        <v>0</v>
      </c>
      <c r="I167" s="414">
        <f>SUM(Table2B.4_AQ_Dollars93[[#This Row],[NOX]:[VOC]])</f>
        <v>36931.563658975923</v>
      </c>
    </row>
    <row r="168" spans="2:9">
      <c r="B168" s="134">
        <f>First_Year+'Q_Appendix B. Project Info'!B48</f>
        <v>2051</v>
      </c>
      <c r="C168" s="414">
        <f>IFERROR(IF(Table2B.4_AQ_Dollars93[[#This Row],[Year]]&gt;Closeout,(C127*INDEX(TableA6_Emissions121[#All],MATCH(Table2B.4_AQ_Dollars93[[#This Row],[Year]],TableA6_Emissions121[Year],0),MATCH(Table2B.4_AQ_Dollars93[[#Headers],[NOX]],TableA6_Emissions121[#Headers],0))),0),0)</f>
        <v>6683.7848090300386</v>
      </c>
      <c r="D168" s="414">
        <f>IFERROR(IF(Table2B.4_AQ_Dollars93[[#This Row],[Year]]&gt;Closeout,(D127*INDEX(TableA6_Emissions121[#All],MATCH(Table2B.4_AQ_Dollars93[[#This Row],[Year]],TableA6_Emissions121[Year],0),MATCH(Table2B.4_AQ_Dollars93[[#Headers],[SOx]],TableA6_Emissions121[#Headers],0))),0),0)</f>
        <v>-44.632359165103701</v>
      </c>
      <c r="E168" s="414">
        <f>IFERROR(IF(Table2B.4_AQ_Dollars93[[#This Row],[Year]]&gt;Closeout,(E127*INDEX(TableA6_Emissions121[#All],MATCH(Table2B.4_AQ_Dollars93[[#This Row],[Year]],TableA6_Emissions121[Year],0),MATCH(Table2B.4_AQ_Dollars93[[#Headers],[PM2.5]],TableA6_Emissions121[#Headers],0))),0),0)</f>
        <v>36402.579520932544</v>
      </c>
      <c r="F168" s="414">
        <f>IFERROR(IF(Table2B.4_AQ_Dollars93[[#This Row],[Year]]&gt;Closeout,F127*INDEX(TableA6_Emissions121[#All],MATCH(Table2B.4_AQ_Dollars93[[#This Row],[Year]],TableA6_Emissions121[Year],0),MATCH(Table2B.4_AQ_Dollars93[[#Headers],[CO2]],TableA6_Emissions121[#Headers],0)),0),0)</f>
        <v>-7014.0388600514852</v>
      </c>
      <c r="G168" s="414">
        <f>IFERROR(G127*INDEX(TableA6_Emissions121[#All],MATCH(Table2B.4_AQ_Dollars93[[#This Row],[Year]],TableA6_Emissions121[Year],0),MATCH(Table2B.4_AQ_Dollars93[[#Headers],[PM10]],TableA6_Emissions121[#Headers],0)),0)</f>
        <v>0</v>
      </c>
      <c r="H168" s="414">
        <f>IFERROR(H127*INDEX(TableA6_Emissions121[#All],MATCH(Table2B.4_AQ_Dollars93[[#This Row],[Year]],TableA6_Emissions121[Year],0),MATCH(Table2B.4_AQ_Dollars93[[#Headers],[VOC]],TableA6_Emissions121[#Headers],0)),0)</f>
        <v>0</v>
      </c>
      <c r="I168" s="414">
        <f>SUM(Table2B.4_AQ_Dollars93[[#This Row],[NOX]:[VOC]])</f>
        <v>36027.693110745997</v>
      </c>
    </row>
    <row r="169" spans="2:9">
      <c r="B169" s="134">
        <f>First_Year+'Q_Appendix B. Project Info'!B49</f>
        <v>2052</v>
      </c>
      <c r="C169" s="414">
        <f>IFERROR(IF(Table2B.4_AQ_Dollars93[[#This Row],[Year]]&gt;Closeout,(C128*INDEX(TableA6_Emissions121[#All],MATCH(Table2B.4_AQ_Dollars93[[#This Row],[Year]],TableA6_Emissions121[Year],0),MATCH(Table2B.4_AQ_Dollars93[[#Headers],[NOX]],TableA6_Emissions121[#Headers],0))),0),0)</f>
        <v>6711.6144861290959</v>
      </c>
      <c r="D169" s="414">
        <f>IFERROR(IF(Table2B.4_AQ_Dollars93[[#This Row],[Year]]&gt;Closeout,(D128*INDEX(TableA6_Emissions121[#All],MATCH(Table2B.4_AQ_Dollars93[[#This Row],[Year]],TableA6_Emissions121[Year],0),MATCH(Table2B.4_AQ_Dollars93[[#Headers],[SOx]],TableA6_Emissions121[#Headers],0))),0),0)</f>
        <v>-46.174901443581852</v>
      </c>
      <c r="E169" s="414">
        <f>IFERROR(IF(Table2B.4_AQ_Dollars93[[#This Row],[Year]]&gt;Closeout,(E128*INDEX(TableA6_Emissions121[#All],MATCH(Table2B.4_AQ_Dollars93[[#This Row],[Year]],TableA6_Emissions121[Year],0),MATCH(Table2B.4_AQ_Dollars93[[#Headers],[PM2.5]],TableA6_Emissions121[#Headers],0))),0),0)</f>
        <v>35966.172800175322</v>
      </c>
      <c r="F169" s="414">
        <f>IFERROR(IF(Table2B.4_AQ_Dollars93[[#This Row],[Year]]&gt;Closeout,F128*INDEX(TableA6_Emissions121[#All],MATCH(Table2B.4_AQ_Dollars93[[#This Row],[Year]],TableA6_Emissions121[Year],0),MATCH(Table2B.4_AQ_Dollars93[[#Headers],[CO2]],TableA6_Emissions121[#Headers],0)),0),0)</f>
        <v>-7432.8439844395034</v>
      </c>
      <c r="G169" s="414">
        <f>IFERROR(G128*INDEX(TableA6_Emissions121[#All],MATCH(Table2B.4_AQ_Dollars93[[#This Row],[Year]],TableA6_Emissions121[Year],0),MATCH(Table2B.4_AQ_Dollars93[[#Headers],[PM10]],TableA6_Emissions121[#Headers],0)),0)</f>
        <v>0</v>
      </c>
      <c r="H169" s="414">
        <f>IFERROR(H128*INDEX(TableA6_Emissions121[#All],MATCH(Table2B.4_AQ_Dollars93[[#This Row],[Year]],TableA6_Emissions121[Year],0),MATCH(Table2B.4_AQ_Dollars93[[#Headers],[VOC]],TableA6_Emissions121[#Headers],0)),0)</f>
        <v>0</v>
      </c>
      <c r="I169" s="414">
        <f>SUM(Table2B.4_AQ_Dollars93[[#This Row],[NOX]:[VOC]])</f>
        <v>35198.76840042133</v>
      </c>
    </row>
    <row r="170" spans="2:9">
      <c r="B170" s="134">
        <f>First_Year+'Q_Appendix B. Project Info'!B50</f>
        <v>2053</v>
      </c>
      <c r="C170" s="414">
        <f>IFERROR(IF(Table2B.4_AQ_Dollars93[[#This Row],[Year]]&gt;Closeout,(C129*INDEX(TableA6_Emissions121[#All],MATCH(Table2B.4_AQ_Dollars93[[#This Row],[Year]],TableA6_Emissions121[Year],0),MATCH(Table2B.4_AQ_Dollars93[[#Headers],[NOX]],TableA6_Emissions121[#Headers],0))),0),0)</f>
        <v>6739.4441632281532</v>
      </c>
      <c r="D170" s="414">
        <f>IFERROR(IF(Table2B.4_AQ_Dollars93[[#This Row],[Year]]&gt;Closeout,(D129*INDEX(TableA6_Emissions121[#All],MATCH(Table2B.4_AQ_Dollars93[[#This Row],[Year]],TableA6_Emissions121[Year],0),MATCH(Table2B.4_AQ_Dollars93[[#Headers],[SOx]],TableA6_Emissions121[#Headers],0))),0),0)</f>
        <v>-47.717443722060011</v>
      </c>
      <c r="E170" s="414">
        <f>IFERROR(IF(Table2B.4_AQ_Dollars93[[#This Row],[Year]]&gt;Closeout,(E129*INDEX(TableA6_Emissions121[#All],MATCH(Table2B.4_AQ_Dollars93[[#This Row],[Year]],TableA6_Emissions121[Year],0),MATCH(Table2B.4_AQ_Dollars93[[#Headers],[PM2.5]],TableA6_Emissions121[#Headers],0))),0),0)</f>
        <v>35529.766079418099</v>
      </c>
      <c r="F170" s="414">
        <f>IFERROR(IF(Table2B.4_AQ_Dollars93[[#This Row],[Year]]&gt;Closeout,F129*INDEX(TableA6_Emissions121[#All],MATCH(Table2B.4_AQ_Dollars93[[#This Row],[Year]],TableA6_Emissions121[Year],0),MATCH(Table2B.4_AQ_Dollars93[[#Headers],[CO2]],TableA6_Emissions121[#Headers],0)),0),0)</f>
        <v>-7851.6491088275216</v>
      </c>
      <c r="G170" s="414">
        <f>IFERROR(G129*INDEX(TableA6_Emissions121[#All],MATCH(Table2B.4_AQ_Dollars93[[#This Row],[Year]],TableA6_Emissions121[Year],0),MATCH(Table2B.4_AQ_Dollars93[[#Headers],[PM10]],TableA6_Emissions121[#Headers],0)),0)</f>
        <v>0</v>
      </c>
      <c r="H170" s="414">
        <f>IFERROR(H129*INDEX(TableA6_Emissions121[#All],MATCH(Table2B.4_AQ_Dollars93[[#This Row],[Year]],TableA6_Emissions121[Year],0),MATCH(Table2B.4_AQ_Dollars93[[#Headers],[VOC]],TableA6_Emissions121[#Headers],0)),0)</f>
        <v>0</v>
      </c>
      <c r="I170" s="414">
        <f>SUM(Table2B.4_AQ_Dollars93[[#This Row],[NOX]:[VOC]])</f>
        <v>34369.84369009667</v>
      </c>
    </row>
    <row r="171" spans="2:9">
      <c r="B171" s="134">
        <f>First_Year+'Q_Appendix B. Project Info'!B51</f>
        <v>2054</v>
      </c>
      <c r="C171" s="414">
        <f>IFERROR(IF(Table2B.4_AQ_Dollars93[[#This Row],[Year]]&gt;Closeout,(C130*INDEX(TableA6_Emissions121[#All],MATCH(Table2B.4_AQ_Dollars93[[#This Row],[Year]],TableA6_Emissions121[Year],0),MATCH(Table2B.4_AQ_Dollars93[[#Headers],[NOX]],TableA6_Emissions121[#Headers],0))),0),0)</f>
        <v>6767.2738403272106</v>
      </c>
      <c r="D171" s="414">
        <f>IFERROR(IF(Table2B.4_AQ_Dollars93[[#This Row],[Year]]&gt;Closeout,(D130*INDEX(TableA6_Emissions121[#All],MATCH(Table2B.4_AQ_Dollars93[[#This Row],[Year]],TableA6_Emissions121[Year],0),MATCH(Table2B.4_AQ_Dollars93[[#Headers],[SOx]],TableA6_Emissions121[#Headers],0))),0),0)</f>
        <v>-49.25998600053817</v>
      </c>
      <c r="E171" s="414">
        <f>IFERROR(IF(Table2B.4_AQ_Dollars93[[#This Row],[Year]]&gt;Closeout,(E130*INDEX(TableA6_Emissions121[#All],MATCH(Table2B.4_AQ_Dollars93[[#This Row],[Year]],TableA6_Emissions121[Year],0),MATCH(Table2B.4_AQ_Dollars93[[#Headers],[PM2.5]],TableA6_Emissions121[#Headers],0))),0),0)</f>
        <v>35093.359358660877</v>
      </c>
      <c r="F171" s="414">
        <f>IFERROR(IF(Table2B.4_AQ_Dollars93[[#This Row],[Year]]&gt;Closeout,F130*INDEX(TableA6_Emissions121[#All],MATCH(Table2B.4_AQ_Dollars93[[#This Row],[Year]],TableA6_Emissions121[Year],0),MATCH(Table2B.4_AQ_Dollars93[[#Headers],[CO2]],TableA6_Emissions121[#Headers],0)),0),0)</f>
        <v>-8270.4542332155397</v>
      </c>
      <c r="G171" s="414">
        <f>IFERROR(G130*INDEX(TableA6_Emissions121[#All],MATCH(Table2B.4_AQ_Dollars93[[#This Row],[Year]],TableA6_Emissions121[Year],0),MATCH(Table2B.4_AQ_Dollars93[[#Headers],[PM10]],TableA6_Emissions121[#Headers],0)),0)</f>
        <v>0</v>
      </c>
      <c r="H171" s="414">
        <f>IFERROR(H130*INDEX(TableA6_Emissions121[#All],MATCH(Table2B.4_AQ_Dollars93[[#This Row],[Year]],TableA6_Emissions121[Year],0),MATCH(Table2B.4_AQ_Dollars93[[#Headers],[VOC]],TableA6_Emissions121[#Headers],0)),0)</f>
        <v>0</v>
      </c>
      <c r="I171" s="414">
        <f>SUM(Table2B.4_AQ_Dollars93[[#This Row],[NOX]:[VOC]])</f>
        <v>33540.91897977201</v>
      </c>
    </row>
    <row r="172" spans="2:9">
      <c r="B172" s="134">
        <f>First_Year+'Q_Appendix B. Project Info'!B52</f>
        <v>2055</v>
      </c>
      <c r="C172" s="414">
        <f>IFERROR(IF(Table2B.4_AQ_Dollars93[[#This Row],[Year]]&gt;Closeout,(C131*INDEX(TableA6_Emissions121[#All],MATCH(Table2B.4_AQ_Dollars93[[#This Row],[Year]],TableA6_Emissions121[Year],0),MATCH(Table2B.4_AQ_Dollars93[[#Headers],[NOX]],TableA6_Emissions121[#Headers],0))),0),0)</f>
        <v>6795.1035174262679</v>
      </c>
      <c r="D172" s="414">
        <f>IFERROR(IF(Table2B.4_AQ_Dollars93[[#This Row],[Year]]&gt;Closeout,(D131*INDEX(TableA6_Emissions121[#All],MATCH(Table2B.4_AQ_Dollars93[[#This Row],[Year]],TableA6_Emissions121[Year],0),MATCH(Table2B.4_AQ_Dollars93[[#Headers],[SOx]],TableA6_Emissions121[#Headers],0))),0),0)</f>
        <v>-50.802528279016322</v>
      </c>
      <c r="E172" s="414">
        <f>IFERROR(IF(Table2B.4_AQ_Dollars93[[#This Row],[Year]]&gt;Closeout,(E131*INDEX(TableA6_Emissions121[#All],MATCH(Table2B.4_AQ_Dollars93[[#This Row],[Year]],TableA6_Emissions121[Year],0),MATCH(Table2B.4_AQ_Dollars93[[#Headers],[PM2.5]],TableA6_Emissions121[#Headers],0))),0),0)</f>
        <v>34656.952637903662</v>
      </c>
      <c r="F172" s="414">
        <f>IFERROR(IF(Table2B.4_AQ_Dollars93[[#This Row],[Year]]&gt;Closeout,F131*INDEX(TableA6_Emissions121[#All],MATCH(Table2B.4_AQ_Dollars93[[#This Row],[Year]],TableA6_Emissions121[Year],0),MATCH(Table2B.4_AQ_Dollars93[[#Headers],[CO2]],TableA6_Emissions121[#Headers],0)),0),0)</f>
        <v>-8689.2593576035579</v>
      </c>
      <c r="G172" s="414">
        <f>IFERROR(G131*INDEX(TableA6_Emissions121[#All],MATCH(Table2B.4_AQ_Dollars93[[#This Row],[Year]],TableA6_Emissions121[Year],0),MATCH(Table2B.4_AQ_Dollars93[[#Headers],[PM10]],TableA6_Emissions121[#Headers],0)),0)</f>
        <v>0</v>
      </c>
      <c r="H172" s="414">
        <f>IFERROR(H131*INDEX(TableA6_Emissions121[#All],MATCH(Table2B.4_AQ_Dollars93[[#This Row],[Year]],TableA6_Emissions121[Year],0),MATCH(Table2B.4_AQ_Dollars93[[#Headers],[VOC]],TableA6_Emissions121[#Headers],0)),0)</f>
        <v>0</v>
      </c>
      <c r="I172" s="414">
        <f>SUM(Table2B.4_AQ_Dollars93[[#This Row],[NOX]:[VOC]])</f>
        <v>32711.994269447358</v>
      </c>
    </row>
    <row r="173" spans="2:9">
      <c r="B173" s="134">
        <f>First_Year+'Q_Appendix B. Project Info'!B53</f>
        <v>2056</v>
      </c>
      <c r="C173" s="414">
        <f>IFERROR(IF(Table2B.4_AQ_Dollars93[[#This Row],[Year]]&gt;Closeout,(C132*INDEX(TableA6_Emissions121[#All],MATCH(Table2B.4_AQ_Dollars93[[#This Row],[Year]],TableA6_Emissions121[Year],0),MATCH(Table2B.4_AQ_Dollars93[[#Headers],[NOX]],TableA6_Emissions121[#Headers],0))),0),0)</f>
        <v>6822.9331945253161</v>
      </c>
      <c r="D173" s="414">
        <f>IFERROR(IF(Table2B.4_AQ_Dollars93[[#This Row],[Year]]&gt;Closeout,(D132*INDEX(TableA6_Emissions121[#All],MATCH(Table2B.4_AQ_Dollars93[[#This Row],[Year]],TableA6_Emissions121[Year],0),MATCH(Table2B.4_AQ_Dollars93[[#Headers],[SOx]],TableA6_Emissions121[#Headers],0))),0),0)</f>
        <v>-52.345070557494481</v>
      </c>
      <c r="E173" s="414">
        <f>IFERROR(IF(Table2B.4_AQ_Dollars93[[#This Row],[Year]]&gt;Closeout,(E132*INDEX(TableA6_Emissions121[#All],MATCH(Table2B.4_AQ_Dollars93[[#This Row],[Year]],TableA6_Emissions121[Year],0),MATCH(Table2B.4_AQ_Dollars93[[#Headers],[PM2.5]],TableA6_Emissions121[#Headers],0))),0),0)</f>
        <v>34220.545917146439</v>
      </c>
      <c r="F173" s="414">
        <f>IFERROR(IF(Table2B.4_AQ_Dollars93[[#This Row],[Year]]&gt;Closeout,F132*INDEX(TableA6_Emissions121[#All],MATCH(Table2B.4_AQ_Dollars93[[#This Row],[Year]],TableA6_Emissions121[Year],0),MATCH(Table2B.4_AQ_Dollars93[[#Headers],[CO2]],TableA6_Emissions121[#Headers],0)),0),0)</f>
        <v>-9108.064481991576</v>
      </c>
      <c r="G173" s="414">
        <f>IFERROR(G132*INDEX(TableA6_Emissions121[#All],MATCH(Table2B.4_AQ_Dollars93[[#This Row],[Year]],TableA6_Emissions121[Year],0),MATCH(Table2B.4_AQ_Dollars93[[#Headers],[PM10]],TableA6_Emissions121[#Headers],0)),0)</f>
        <v>0</v>
      </c>
      <c r="H173" s="414">
        <f>IFERROR(H132*INDEX(TableA6_Emissions121[#All],MATCH(Table2B.4_AQ_Dollars93[[#This Row],[Year]],TableA6_Emissions121[Year],0),MATCH(Table2B.4_AQ_Dollars93[[#Headers],[VOC]],TableA6_Emissions121[#Headers],0)),0)</f>
        <v>0</v>
      </c>
      <c r="I173" s="414">
        <f>SUM(Table2B.4_AQ_Dollars93[[#This Row],[NOX]:[VOC]])</f>
        <v>31883.069559122683</v>
      </c>
    </row>
    <row r="174" spans="2:9">
      <c r="B174" s="134">
        <f>First_Year+'Q_Appendix B. Project Info'!B54</f>
        <v>2057</v>
      </c>
      <c r="C174" s="414">
        <f>IFERROR(IF(Table2B.4_AQ_Dollars93[[#This Row],[Year]]&gt;Closeout,(C133*INDEX(TableA6_Emissions121[#All],MATCH(Table2B.4_AQ_Dollars93[[#This Row],[Year]],TableA6_Emissions121[Year],0),MATCH(Table2B.4_AQ_Dollars93[[#Headers],[NOX]],TableA6_Emissions121[#Headers],0))),0),0)</f>
        <v>6850.7628716243653</v>
      </c>
      <c r="D174" s="414">
        <f>IFERROR(IF(Table2B.4_AQ_Dollars93[[#This Row],[Year]]&gt;Closeout,(D133*INDEX(TableA6_Emissions121[#All],MATCH(Table2B.4_AQ_Dollars93[[#This Row],[Year]],TableA6_Emissions121[Year],0),MATCH(Table2B.4_AQ_Dollars93[[#Headers],[SOx]],TableA6_Emissions121[#Headers],0))),0),0)</f>
        <v>-53.887612835972639</v>
      </c>
      <c r="E174" s="414">
        <f>IFERROR(IF(Table2B.4_AQ_Dollars93[[#This Row],[Year]]&gt;Closeout,(E133*INDEX(TableA6_Emissions121[#All],MATCH(Table2B.4_AQ_Dollars93[[#This Row],[Year]],TableA6_Emissions121[Year],0),MATCH(Table2B.4_AQ_Dollars93[[#Headers],[PM2.5]],TableA6_Emissions121[#Headers],0))),0),0)</f>
        <v>33784.139196389217</v>
      </c>
      <c r="F174" s="414">
        <f>IFERROR(IF(Table2B.4_AQ_Dollars93[[#This Row],[Year]]&gt;Closeout,F133*INDEX(TableA6_Emissions121[#All],MATCH(Table2B.4_AQ_Dollars93[[#This Row],[Year]],TableA6_Emissions121[Year],0),MATCH(Table2B.4_AQ_Dollars93[[#Headers],[CO2]],TableA6_Emissions121[#Headers],0)),0),0)</f>
        <v>-9526.8696063795942</v>
      </c>
      <c r="G174" s="414">
        <f>IFERROR(G133*INDEX(TableA6_Emissions121[#All],MATCH(Table2B.4_AQ_Dollars93[[#This Row],[Year]],TableA6_Emissions121[Year],0),MATCH(Table2B.4_AQ_Dollars93[[#Headers],[PM10]],TableA6_Emissions121[#Headers],0)),0)</f>
        <v>0</v>
      </c>
      <c r="H174" s="414">
        <f>IFERROR(H133*INDEX(TableA6_Emissions121[#All],MATCH(Table2B.4_AQ_Dollars93[[#This Row],[Year]],TableA6_Emissions121[Year],0),MATCH(Table2B.4_AQ_Dollars93[[#Headers],[VOC]],TableA6_Emissions121[#Headers],0)),0)</f>
        <v>0</v>
      </c>
      <c r="I174" s="414">
        <f>SUM(Table2B.4_AQ_Dollars93[[#This Row],[NOX]:[VOC]])</f>
        <v>31054.144848798016</v>
      </c>
    </row>
    <row r="175" spans="2:9">
      <c r="B175" s="134">
        <f>First_Year+'Q_Appendix B. Project Info'!B55</f>
        <v>2058</v>
      </c>
      <c r="C175" s="414">
        <f>IFERROR(IF(Table2B.4_AQ_Dollars93[[#This Row],[Year]]&gt;Closeout,(C134*INDEX(TableA6_Emissions121[#All],MATCH(Table2B.4_AQ_Dollars93[[#This Row],[Year]],TableA6_Emissions121[Year],0),MATCH(Table2B.4_AQ_Dollars93[[#Headers],[NOX]],TableA6_Emissions121[#Headers],0))),0),0)</f>
        <v>6878.5925487234817</v>
      </c>
      <c r="D175" s="414">
        <f>IFERROR(IF(Table2B.4_AQ_Dollars93[[#This Row],[Year]]&gt;Closeout,(D134*INDEX(TableA6_Emissions121[#All],MATCH(Table2B.4_AQ_Dollars93[[#This Row],[Year]],TableA6_Emissions121[Year],0),MATCH(Table2B.4_AQ_Dollars93[[#Headers],[SOx]],TableA6_Emissions121[#Headers],0))),0),0)</f>
        <v>-55.43015511445649</v>
      </c>
      <c r="E175" s="414">
        <f>IFERROR(IF(Table2B.4_AQ_Dollars93[[#This Row],[Year]]&gt;Closeout,(E134*INDEX(TableA6_Emissions121[#All],MATCH(Table2B.4_AQ_Dollars93[[#This Row],[Year]],TableA6_Emissions121[Year],0),MATCH(Table2B.4_AQ_Dollars93[[#Headers],[PM2.5]],TableA6_Emissions121[#Headers],0))),0),0)</f>
        <v>33347.732475632249</v>
      </c>
      <c r="F175" s="414">
        <f>IFERROR(IF(Table2B.4_AQ_Dollars93[[#This Row],[Year]]&gt;Closeout,F134*INDEX(TableA6_Emissions121[#All],MATCH(Table2B.4_AQ_Dollars93[[#This Row],[Year]],TableA6_Emissions121[Year],0),MATCH(Table2B.4_AQ_Dollars93[[#Headers],[CO2]],TableA6_Emissions121[#Headers],0)),0),0)</f>
        <v>-9945.6747307642509</v>
      </c>
      <c r="G175" s="414">
        <f>IFERROR(G134*INDEX(TableA6_Emissions121[#All],MATCH(Table2B.4_AQ_Dollars93[[#This Row],[Year]],TableA6_Emissions121[Year],0),MATCH(Table2B.4_AQ_Dollars93[[#Headers],[PM10]],TableA6_Emissions121[#Headers],0)),0)</f>
        <v>0</v>
      </c>
      <c r="H175" s="414">
        <f>IFERROR(H134*INDEX(TableA6_Emissions121[#All],MATCH(Table2B.4_AQ_Dollars93[[#This Row],[Year]],TableA6_Emissions121[Year],0),MATCH(Table2B.4_AQ_Dollars93[[#Headers],[VOC]],TableA6_Emissions121[#Headers],0)),0)</f>
        <v>0</v>
      </c>
      <c r="I175" s="414">
        <f>SUM(Table2B.4_AQ_Dollars93[[#This Row],[NOX]:[VOC]])</f>
        <v>30225.220138477023</v>
      </c>
    </row>
    <row r="176" spans="2:9">
      <c r="B176" s="134" t="s">
        <v>28</v>
      </c>
      <c r="C176" s="413">
        <f>SUBTOTAL(109,Table2B.4_AQ_Dollars93[NOX])</f>
        <v>199654.10973863845</v>
      </c>
      <c r="D176" s="413">
        <f>SUBTOTAL(109,Table2B.4_AQ_Dollars93[SOx])</f>
        <v>-999.99867728115237</v>
      </c>
      <c r="E176" s="413">
        <f>SUBTOTAL(109,Table2B.4_AQ_Dollars93[PM2.5])</f>
        <v>1232417.4812824361</v>
      </c>
      <c r="F176" s="413">
        <f>SUBTOTAL(109,Table2B.4_AQ_Dollars93[CO2])</f>
        <v>-112058.00932561497</v>
      </c>
      <c r="G176" s="413">
        <f>SUBTOTAL(109,Table2B.4_AQ_Dollars93[PM10])</f>
        <v>0</v>
      </c>
      <c r="H176" s="413">
        <f>SUBTOTAL(109,Table2B.4_AQ_Dollars93[VOC])</f>
        <v>0</v>
      </c>
      <c r="I176" s="412">
        <f>SUBTOTAL(109,Table2B.4_AQ_Dollars93[Total])</f>
        <v>1319013.5830181784</v>
      </c>
    </row>
    <row r="179" spans="2:9" hidden="1">
      <c r="B179" s="63" t="s">
        <v>145</v>
      </c>
      <c r="C179" s="130"/>
      <c r="D179" s="130"/>
      <c r="E179" s="131"/>
      <c r="F179" s="130"/>
      <c r="G179" s="130"/>
      <c r="H179" s="130"/>
    </row>
    <row r="180" spans="2:9" hidden="1">
      <c r="B180" s="130"/>
      <c r="C180" s="130"/>
      <c r="D180" s="130"/>
      <c r="E180" s="131"/>
      <c r="F180" s="130"/>
      <c r="G180" s="130"/>
      <c r="H180" s="130"/>
    </row>
    <row r="181" spans="2:9" hidden="1">
      <c r="B181" s="133" t="s">
        <v>21</v>
      </c>
      <c r="C181" s="145" t="s">
        <v>130</v>
      </c>
      <c r="D181" s="145" t="s">
        <v>122</v>
      </c>
      <c r="E181" s="145" t="s">
        <v>131</v>
      </c>
      <c r="F181" s="145" t="s">
        <v>132</v>
      </c>
      <c r="G181" s="145" t="s">
        <v>133</v>
      </c>
      <c r="H181" s="145" t="s">
        <v>126</v>
      </c>
      <c r="I181" s="145" t="s">
        <v>28</v>
      </c>
    </row>
    <row r="182" spans="2:9" hidden="1">
      <c r="B182" s="134">
        <f>First_Year+'Q_Appendix B. Project Info'!B20</f>
        <v>2023</v>
      </c>
      <c r="C182" s="135"/>
      <c r="D182" s="135"/>
      <c r="E182" s="135"/>
      <c r="F182" s="135"/>
      <c r="G182" s="135"/>
      <c r="H182" s="135"/>
      <c r="I182" s="146">
        <f>IF(Table2589[[#This Row],[Year]]&gt;Closeout,SUM(C182:H182),0)</f>
        <v>0</v>
      </c>
    </row>
    <row r="183" spans="2:9" hidden="1">
      <c r="B183" s="134">
        <f>First_Year+'Q_Appendix B. Project Info'!B21</f>
        <v>2024</v>
      </c>
      <c r="C183" s="135"/>
      <c r="D183" s="135"/>
      <c r="E183" s="135"/>
      <c r="F183" s="135"/>
      <c r="G183" s="135"/>
      <c r="H183" s="135"/>
      <c r="I183" s="146">
        <f>IF(Table2589[[#This Row],[Year]]&gt;Closeout,SUM(C183:H183),0)</f>
        <v>0</v>
      </c>
    </row>
    <row r="184" spans="2:9" hidden="1">
      <c r="B184" s="134">
        <f>First_Year+'Q_Appendix B. Project Info'!B22</f>
        <v>2025</v>
      </c>
      <c r="C184" s="135"/>
      <c r="D184" s="135"/>
      <c r="E184" s="135"/>
      <c r="F184" s="135"/>
      <c r="G184" s="135"/>
      <c r="H184" s="135"/>
      <c r="I184" s="146">
        <f>IF(Table2589[[#This Row],[Year]]&gt;Closeout,SUM(C184:H184),0)</f>
        <v>0</v>
      </c>
    </row>
    <row r="185" spans="2:9" hidden="1">
      <c r="B185" s="134">
        <f>First_Year+'Q_Appendix B. Project Info'!B23</f>
        <v>2026</v>
      </c>
      <c r="C185" s="135"/>
      <c r="D185" s="135"/>
      <c r="E185" s="135"/>
      <c r="F185" s="135"/>
      <c r="G185" s="135"/>
      <c r="H185" s="135"/>
      <c r="I185" s="146">
        <f>IF(Table2589[[#This Row],[Year]]&gt;Closeout,SUM(C185:H185),0)</f>
        <v>0</v>
      </c>
    </row>
    <row r="186" spans="2:9" hidden="1">
      <c r="B186" s="134">
        <f>First_Year+'Q_Appendix B. Project Info'!B24</f>
        <v>2027</v>
      </c>
      <c r="C186" s="135"/>
      <c r="D186" s="135"/>
      <c r="E186" s="135"/>
      <c r="F186" s="135"/>
      <c r="G186" s="135"/>
      <c r="H186" s="135"/>
      <c r="I186" s="146">
        <f>IF(Table2589[[#This Row],[Year]]&gt;Closeout,SUM(C186:H186),0)</f>
        <v>0</v>
      </c>
    </row>
    <row r="187" spans="2:9" hidden="1">
      <c r="B187" s="134">
        <f>First_Year+'Q_Appendix B. Project Info'!B25</f>
        <v>2028</v>
      </c>
      <c r="C187" s="135">
        <f>'Q_2. Emissions Benefits'!C29</f>
        <v>5723.9296306854922</v>
      </c>
      <c r="D187" s="135">
        <f>'Q_2. Emissions Benefits'!D29</f>
        <v>-8.6899470802566618</v>
      </c>
      <c r="E187" s="135">
        <f>'Q_2. Emissions Benefits'!E29</f>
        <v>44290.884701994895</v>
      </c>
      <c r="F187" s="135">
        <f>'Q_2. Emissions Benefits'!F29</f>
        <v>1815.0820346960099</v>
      </c>
      <c r="G187" s="135">
        <f>'Q_2. Emissions Benefits'!G29</f>
        <v>0</v>
      </c>
      <c r="H187" s="135">
        <f>'Q_2. Emissions Benefits'!H29</f>
        <v>0</v>
      </c>
      <c r="I187" s="146">
        <f>IF(Table2589[[#This Row],[Year]]&gt;Closeout,SUM(C187:H187),0)</f>
        <v>51821.206420296141</v>
      </c>
    </row>
    <row r="188" spans="2:9" hidden="1">
      <c r="B188" s="134">
        <f>First_Year+'Q_Appendix B. Project Info'!B26</f>
        <v>2029</v>
      </c>
      <c r="C188" s="136">
        <f>'Q_2. Emissions Benefits'!C30</f>
        <v>5846.660360522972</v>
      </c>
      <c r="D188" s="135">
        <f>'Q_2. Emissions Benefits'!D30</f>
        <v>-10.321115738984803</v>
      </c>
      <c r="E188" s="135">
        <f>'Q_2. Emissions Benefits'!E30</f>
        <v>44574.15378564773</v>
      </c>
      <c r="F188" s="136">
        <f>'Q_2. Emissions Benefits'!F30</f>
        <v>1549.7702311598259</v>
      </c>
      <c r="G188" s="136">
        <f>'Q_2. Emissions Benefits'!G30</f>
        <v>0</v>
      </c>
      <c r="H188" s="136">
        <f>'Q_2. Emissions Benefits'!H30</f>
        <v>0</v>
      </c>
      <c r="I188" s="146">
        <f>IF(Table2589[[#This Row],[Year]]&gt;Closeout,SUM(C188:H188),0)</f>
        <v>51960.263261591543</v>
      </c>
    </row>
    <row r="189" spans="2:9" hidden="1">
      <c r="B189" s="134">
        <f>First_Year+'Q_Appendix B. Project Info'!B27</f>
        <v>2030</v>
      </c>
      <c r="C189" s="136">
        <f>'Q_2. Emissions Benefits'!C31</f>
        <v>6002.5463266172983</v>
      </c>
      <c r="D189" s="135">
        <f>'Q_2. Emissions Benefits'!D31</f>
        <v>-12.024252522026224</v>
      </c>
      <c r="E189" s="135">
        <f>'Q_2. Emissions Benefits'!E31</f>
        <v>44854.193030867849</v>
      </c>
      <c r="F189" s="136">
        <f>'Q_2. Emissions Benefits'!F31</f>
        <v>1274.940129342096</v>
      </c>
      <c r="G189" s="136">
        <f>'Q_2. Emissions Benefits'!G31</f>
        <v>0</v>
      </c>
      <c r="H189" s="136">
        <f>'Q_2. Emissions Benefits'!H31</f>
        <v>0</v>
      </c>
      <c r="I189" s="146">
        <f>IF(Table2589[[#This Row],[Year]]&gt;Closeout,SUM(C189:H189),0)</f>
        <v>52119.655234305217</v>
      </c>
    </row>
    <row r="190" spans="2:9" hidden="1">
      <c r="B190" s="134">
        <f>First_Year+'Q_Appendix B. Project Info'!B28</f>
        <v>2031</v>
      </c>
      <c r="C190" s="136">
        <f>'Q_2. Emissions Benefits'!C32</f>
        <v>6127.1912670488928</v>
      </c>
      <c r="D190" s="135">
        <f>'Q_2. Emissions Benefits'!D32</f>
        <v>-13.781513595540563</v>
      </c>
      <c r="E190" s="135">
        <f>'Q_2. Emissions Benefits'!E32</f>
        <v>45130.713936076958</v>
      </c>
      <c r="F190" s="136">
        <f>'Q_2. Emissions Benefits'!F32</f>
        <v>1006.0697250122394</v>
      </c>
      <c r="G190" s="136">
        <f>'Q_2. Emissions Benefits'!G32</f>
        <v>0</v>
      </c>
      <c r="H190" s="136">
        <f>'Q_2. Emissions Benefits'!H32</f>
        <v>0</v>
      </c>
      <c r="I190" s="146">
        <f>IF(Table2589[[#This Row],[Year]]&gt;Closeout,SUM(C190:H190),0)</f>
        <v>52250.193414542548</v>
      </c>
    </row>
    <row r="191" spans="2:9" hidden="1">
      <c r="B191" s="134">
        <f>First_Year+'Q_Appendix B. Project Info'!B29</f>
        <v>2032</v>
      </c>
      <c r="C191" s="136">
        <f>'Q_2. Emissions Benefits'!C33</f>
        <v>6155.0209441479501</v>
      </c>
      <c r="D191" s="135">
        <f>'Q_2. Emissions Benefits'!D33</f>
        <v>-15.32405587401872</v>
      </c>
      <c r="E191" s="135">
        <f>'Q_2. Emissions Benefits'!E33</f>
        <v>44694.307215319743</v>
      </c>
      <c r="F191" s="136">
        <f>'Q_2. Emissions Benefits'!F33</f>
        <v>707.44387749064481</v>
      </c>
      <c r="G191" s="136">
        <f>'Q_2. Emissions Benefits'!G33</f>
        <v>0</v>
      </c>
      <c r="H191" s="136">
        <f>'Q_2. Emissions Benefits'!H33</f>
        <v>0</v>
      </c>
      <c r="I191" s="146">
        <f>IF(Table2589[[#This Row],[Year]]&gt;Closeout,SUM(C191:H191),0)</f>
        <v>51541.447981084319</v>
      </c>
    </row>
    <row r="192" spans="2:9" hidden="1">
      <c r="B192" s="134">
        <f>First_Year+'Q_Appendix B. Project Info'!B30</f>
        <v>2033</v>
      </c>
      <c r="C192" s="136">
        <f t="shared" ref="C192:C216" si="16">(C$217-C$191)/26+C191</f>
        <v>6182.8506212470093</v>
      </c>
      <c r="D192" s="135">
        <f t="shared" ref="D192:D216" si="17">(D$217-D$191)/26+D191</f>
        <v>-16.866598152497097</v>
      </c>
      <c r="E192" s="135">
        <f t="shared" ref="E192:E216" si="18">IFERROR((E$217-E$191)/26+E191,0)</f>
        <v>44257.900494562535</v>
      </c>
      <c r="F192" s="135">
        <f t="shared" ref="F192:F216" si="19">IFERROR((F$217-F$191)/26+F191,0)</f>
        <v>297.70854640391804</v>
      </c>
      <c r="G192" s="135">
        <f t="shared" ref="G192:G216" si="20">(G$217-G$191)/26+G191</f>
        <v>0</v>
      </c>
      <c r="H192" s="135">
        <f t="shared" ref="H192:H216" si="21">(H$217-H$191)/26+H191</f>
        <v>0</v>
      </c>
      <c r="I192" s="146">
        <f>IF(Table2589[[#This Row],[Year]]&gt;Closeout,SUM(C192:H192),0)</f>
        <v>50721.593064060966</v>
      </c>
    </row>
    <row r="193" spans="2:9" hidden="1">
      <c r="B193" s="134">
        <f>First_Year+'Q_Appendix B. Project Info'!B31</f>
        <v>2034</v>
      </c>
      <c r="C193" s="136">
        <f t="shared" si="16"/>
        <v>6210.6802983460684</v>
      </c>
      <c r="D193" s="135">
        <f t="shared" si="17"/>
        <v>-18.409140430975473</v>
      </c>
      <c r="E193" s="135">
        <f t="shared" si="18"/>
        <v>43821.493773805327</v>
      </c>
      <c r="F193" s="135">
        <f t="shared" si="19"/>
        <v>-112.02678468280874</v>
      </c>
      <c r="G193" s="135">
        <f t="shared" si="20"/>
        <v>0</v>
      </c>
      <c r="H193" s="135">
        <f t="shared" si="21"/>
        <v>0</v>
      </c>
      <c r="I193" s="146">
        <f>IF(Table2589[[#This Row],[Year]]&gt;Closeout,SUM(C193:H193),0)</f>
        <v>49901.738147037613</v>
      </c>
    </row>
    <row r="194" spans="2:9" hidden="1">
      <c r="B194" s="134">
        <f>First_Year+'Q_Appendix B. Project Info'!B32</f>
        <v>2035</v>
      </c>
      <c r="C194" s="136">
        <f t="shared" si="16"/>
        <v>6238.5099754451276</v>
      </c>
      <c r="D194" s="135">
        <f t="shared" si="17"/>
        <v>-19.951682709453848</v>
      </c>
      <c r="E194" s="135">
        <f t="shared" si="18"/>
        <v>43385.087053048119</v>
      </c>
      <c r="F194" s="135">
        <f t="shared" si="19"/>
        <v>-521.76211576953551</v>
      </c>
      <c r="G194" s="135">
        <f t="shared" si="20"/>
        <v>0</v>
      </c>
      <c r="H194" s="135">
        <f t="shared" si="21"/>
        <v>0</v>
      </c>
      <c r="I194" s="146">
        <f>IF(Table2589[[#This Row],[Year]]&gt;Closeout,SUM(C194:H194),0)</f>
        <v>49081.88323001426</v>
      </c>
    </row>
    <row r="195" spans="2:9" hidden="1">
      <c r="B195" s="134">
        <f>First_Year+'Q_Appendix B. Project Info'!B33</f>
        <v>2036</v>
      </c>
      <c r="C195" s="136">
        <f t="shared" si="16"/>
        <v>6266.3396525441867</v>
      </c>
      <c r="D195" s="135">
        <f t="shared" si="17"/>
        <v>-21.494224987932224</v>
      </c>
      <c r="E195" s="135">
        <f t="shared" si="18"/>
        <v>42948.680332290911</v>
      </c>
      <c r="F195" s="135">
        <f t="shared" si="19"/>
        <v>-931.49744685626229</v>
      </c>
      <c r="G195" s="135">
        <f t="shared" si="20"/>
        <v>0</v>
      </c>
      <c r="H195" s="135">
        <f t="shared" si="21"/>
        <v>0</v>
      </c>
      <c r="I195" s="146">
        <f>IF(Table2589[[#This Row],[Year]]&gt;Closeout,SUM(C195:H195),0)</f>
        <v>48262.0283129909</v>
      </c>
    </row>
    <row r="196" spans="2:9" hidden="1">
      <c r="B196" s="134">
        <f>First_Year+'Q_Appendix B. Project Info'!B34</f>
        <v>2037</v>
      </c>
      <c r="C196" s="136">
        <f t="shared" si="16"/>
        <v>6294.1693296432459</v>
      </c>
      <c r="D196" s="135">
        <f t="shared" si="17"/>
        <v>-23.0367672664106</v>
      </c>
      <c r="E196" s="135">
        <f t="shared" si="18"/>
        <v>42512.273611533703</v>
      </c>
      <c r="F196" s="135">
        <f t="shared" si="19"/>
        <v>-1341.2327779429891</v>
      </c>
      <c r="G196" s="135">
        <f t="shared" si="20"/>
        <v>0</v>
      </c>
      <c r="H196" s="135">
        <f t="shared" si="21"/>
        <v>0</v>
      </c>
      <c r="I196" s="146">
        <f>IF(Table2589[[#This Row],[Year]]&gt;Closeout,SUM(C196:H196),0)</f>
        <v>47442.173395967548</v>
      </c>
    </row>
    <row r="197" spans="2:9" hidden="1">
      <c r="B197" s="134">
        <f>First_Year+'Q_Appendix B. Project Info'!B35</f>
        <v>2038</v>
      </c>
      <c r="C197" s="136">
        <f t="shared" si="16"/>
        <v>6321.999006742305</v>
      </c>
      <c r="D197" s="135">
        <f t="shared" si="17"/>
        <v>-24.579309544888975</v>
      </c>
      <c r="E197" s="135">
        <f t="shared" si="18"/>
        <v>42075.866890776495</v>
      </c>
      <c r="F197" s="135">
        <f t="shared" si="19"/>
        <v>-1750.9681090297158</v>
      </c>
      <c r="G197" s="135">
        <f t="shared" si="20"/>
        <v>0</v>
      </c>
      <c r="H197" s="135">
        <f t="shared" si="21"/>
        <v>0</v>
      </c>
      <c r="I197" s="146">
        <f>IF(Table2589[[#This Row],[Year]]&gt;Closeout,SUM(C197:H197),0)</f>
        <v>46622.318478944195</v>
      </c>
    </row>
    <row r="198" spans="2:9" hidden="1">
      <c r="B198" s="134">
        <f>First_Year+'Q_Appendix B. Project Info'!B36</f>
        <v>2039</v>
      </c>
      <c r="C198" s="136">
        <f t="shared" si="16"/>
        <v>6349.8286838413642</v>
      </c>
      <c r="D198" s="135">
        <f t="shared" si="17"/>
        <v>-26.121851823367351</v>
      </c>
      <c r="E198" s="135">
        <f t="shared" si="18"/>
        <v>41639.460170019287</v>
      </c>
      <c r="F198" s="135">
        <f t="shared" si="19"/>
        <v>-2160.7034401164428</v>
      </c>
      <c r="G198" s="135">
        <f t="shared" si="20"/>
        <v>0</v>
      </c>
      <c r="H198" s="135">
        <f t="shared" si="21"/>
        <v>0</v>
      </c>
      <c r="I198" s="146">
        <f>IF(Table2589[[#This Row],[Year]]&gt;Closeout,SUM(C198:H198),0)</f>
        <v>45802.463561920842</v>
      </c>
    </row>
    <row r="199" spans="2:9" hidden="1">
      <c r="B199" s="134">
        <f>First_Year+'Q_Appendix B. Project Info'!B37</f>
        <v>2040</v>
      </c>
      <c r="C199" s="136">
        <f t="shared" si="16"/>
        <v>6377.6583609404233</v>
      </c>
      <c r="D199" s="135">
        <f t="shared" si="17"/>
        <v>-27.664394101845726</v>
      </c>
      <c r="E199" s="135">
        <f t="shared" si="18"/>
        <v>41203.053449262079</v>
      </c>
      <c r="F199" s="135">
        <f t="shared" si="19"/>
        <v>-2570.4387712031694</v>
      </c>
      <c r="G199" s="135">
        <f t="shared" si="20"/>
        <v>0</v>
      </c>
      <c r="H199" s="135">
        <f t="shared" si="21"/>
        <v>0</v>
      </c>
      <c r="I199" s="146">
        <f>IF(Table2589[[#This Row],[Year]]&gt;Closeout,SUM(C199:H199),0)</f>
        <v>44982.608644897489</v>
      </c>
    </row>
    <row r="200" spans="2:9" hidden="1">
      <c r="B200" s="134">
        <f>First_Year+'Q_Appendix B. Project Info'!B38</f>
        <v>2041</v>
      </c>
      <c r="C200" s="136">
        <f t="shared" si="16"/>
        <v>6405.4880380394825</v>
      </c>
      <c r="D200" s="135">
        <f t="shared" si="17"/>
        <v>-29.206936380324102</v>
      </c>
      <c r="E200" s="135">
        <f t="shared" si="18"/>
        <v>40766.646728504871</v>
      </c>
      <c r="F200" s="135">
        <f t="shared" si="19"/>
        <v>-2980.1741022898959</v>
      </c>
      <c r="G200" s="135">
        <f t="shared" si="20"/>
        <v>0</v>
      </c>
      <c r="H200" s="135">
        <f t="shared" si="21"/>
        <v>0</v>
      </c>
      <c r="I200" s="146">
        <f>IF(Table2589[[#This Row],[Year]]&gt;Closeout,SUM(C200:H200),0)</f>
        <v>44162.753727874137</v>
      </c>
    </row>
    <row r="201" spans="2:9" hidden="1">
      <c r="B201" s="134">
        <f>First_Year+'Q_Appendix B. Project Info'!B39</f>
        <v>2042</v>
      </c>
      <c r="C201" s="136">
        <f t="shared" si="16"/>
        <v>6433.3177151385416</v>
      </c>
      <c r="D201" s="135">
        <f t="shared" si="17"/>
        <v>-30.749478658802477</v>
      </c>
      <c r="E201" s="135">
        <f t="shared" si="18"/>
        <v>40330.240007747663</v>
      </c>
      <c r="F201" s="135">
        <f t="shared" si="19"/>
        <v>-3389.9094333766225</v>
      </c>
      <c r="G201" s="135">
        <f t="shared" si="20"/>
        <v>0</v>
      </c>
      <c r="H201" s="135">
        <f t="shared" si="21"/>
        <v>0</v>
      </c>
      <c r="I201" s="146">
        <f>IF(Table2589[[#This Row],[Year]]&gt;Closeout,SUM(C201:H201),0)</f>
        <v>43342.898810850776</v>
      </c>
    </row>
    <row r="202" spans="2:9" hidden="1">
      <c r="B202" s="134">
        <f>First_Year+'Q_Appendix B. Project Info'!B40</f>
        <v>2043</v>
      </c>
      <c r="C202" s="136">
        <f t="shared" si="16"/>
        <v>6461.1473922376008</v>
      </c>
      <c r="D202" s="135">
        <f t="shared" si="17"/>
        <v>-32.292020937280853</v>
      </c>
      <c r="E202" s="135">
        <f t="shared" si="18"/>
        <v>39893.833286990455</v>
      </c>
      <c r="F202" s="135">
        <f t="shared" si="19"/>
        <v>-3799.644764463349</v>
      </c>
      <c r="G202" s="135">
        <f t="shared" si="20"/>
        <v>0</v>
      </c>
      <c r="H202" s="135">
        <f t="shared" si="21"/>
        <v>0</v>
      </c>
      <c r="I202" s="146">
        <f>IF(Table2589[[#This Row],[Year]]&gt;Closeout,SUM(C202:H202),0)</f>
        <v>42523.043893827424</v>
      </c>
    </row>
    <row r="203" spans="2:9" hidden="1">
      <c r="B203" s="134">
        <f>First_Year+'Q_Appendix B. Project Info'!B41</f>
        <v>2044</v>
      </c>
      <c r="C203" s="136">
        <f t="shared" si="16"/>
        <v>6488.97706933666</v>
      </c>
      <c r="D203" s="135">
        <f t="shared" si="17"/>
        <v>-33.834563215759232</v>
      </c>
      <c r="E203" s="135">
        <f t="shared" si="18"/>
        <v>39457.426566233247</v>
      </c>
      <c r="F203" s="135">
        <f t="shared" si="19"/>
        <v>-4209.3800955500756</v>
      </c>
      <c r="G203" s="135">
        <f t="shared" si="20"/>
        <v>0</v>
      </c>
      <c r="H203" s="135">
        <f t="shared" si="21"/>
        <v>0</v>
      </c>
      <c r="I203" s="146">
        <f>IF(Table2589[[#This Row],[Year]]&gt;Closeout,SUM(C203:H203),0)</f>
        <v>41703.188976804071</v>
      </c>
    </row>
    <row r="204" spans="2:9" hidden="1">
      <c r="B204" s="134">
        <f>First_Year+'Q_Appendix B. Project Info'!B42</f>
        <v>2045</v>
      </c>
      <c r="C204" s="136">
        <f t="shared" si="16"/>
        <v>6516.8067464357191</v>
      </c>
      <c r="D204" s="135">
        <f t="shared" si="17"/>
        <v>-35.377105494237611</v>
      </c>
      <c r="E204" s="135">
        <f t="shared" si="18"/>
        <v>39021.019845476039</v>
      </c>
      <c r="F204" s="135">
        <f t="shared" si="19"/>
        <v>-4619.1154266368021</v>
      </c>
      <c r="G204" s="135">
        <f t="shared" si="20"/>
        <v>0</v>
      </c>
      <c r="H204" s="135">
        <f t="shared" si="21"/>
        <v>0</v>
      </c>
      <c r="I204" s="146">
        <f>IF(Table2589[[#This Row],[Year]]&gt;Closeout,SUM(C204:H204),0)</f>
        <v>40883.334059780718</v>
      </c>
    </row>
    <row r="205" spans="2:9" hidden="1">
      <c r="B205" s="134">
        <f>First_Year+'Q_Appendix B. Project Info'!B43</f>
        <v>2046</v>
      </c>
      <c r="C205" s="136">
        <f t="shared" si="16"/>
        <v>6544.6364235347783</v>
      </c>
      <c r="D205" s="135">
        <f t="shared" si="17"/>
        <v>-36.91964777271599</v>
      </c>
      <c r="E205" s="135">
        <f t="shared" si="18"/>
        <v>38584.613124718831</v>
      </c>
      <c r="F205" s="135">
        <f t="shared" si="19"/>
        <v>-5028.8507577235287</v>
      </c>
      <c r="G205" s="135">
        <f t="shared" si="20"/>
        <v>0</v>
      </c>
      <c r="H205" s="135">
        <f t="shared" si="21"/>
        <v>0</v>
      </c>
      <c r="I205" s="146">
        <f>IF(Table2589[[#This Row],[Year]]&gt;Closeout,SUM(C205:H205),0)</f>
        <v>40063.479142757365</v>
      </c>
    </row>
    <row r="206" spans="2:9" hidden="1">
      <c r="B206" s="134">
        <f>First_Year+'Q_Appendix B. Project Info'!B44</f>
        <v>2047</v>
      </c>
      <c r="C206" s="136">
        <f t="shared" si="16"/>
        <v>6572.4661006338374</v>
      </c>
      <c r="D206" s="135">
        <f t="shared" si="17"/>
        <v>-38.462190051194369</v>
      </c>
      <c r="E206" s="135">
        <f t="shared" si="18"/>
        <v>38148.206403961623</v>
      </c>
      <c r="F206" s="135">
        <f t="shared" si="19"/>
        <v>-5438.5860888102552</v>
      </c>
      <c r="G206" s="135">
        <f t="shared" si="20"/>
        <v>0</v>
      </c>
      <c r="H206" s="135">
        <f t="shared" si="21"/>
        <v>0</v>
      </c>
      <c r="I206" s="146">
        <f>IF(Table2589[[#This Row],[Year]]&gt;Closeout,SUM(C206:H206),0)</f>
        <v>39243.624225734013</v>
      </c>
    </row>
    <row r="207" spans="2:9" hidden="1">
      <c r="B207" s="134">
        <f>First_Year+'Q_Appendix B. Project Info'!B45</f>
        <v>2048</v>
      </c>
      <c r="C207" s="136">
        <f t="shared" si="16"/>
        <v>6600.2957777328966</v>
      </c>
      <c r="D207" s="135">
        <f t="shared" si="17"/>
        <v>-40.004732329672748</v>
      </c>
      <c r="E207" s="135">
        <f t="shared" si="18"/>
        <v>37711.799683204415</v>
      </c>
      <c r="F207" s="135">
        <f t="shared" si="19"/>
        <v>-5848.3214198969818</v>
      </c>
      <c r="G207" s="135">
        <f t="shared" si="20"/>
        <v>0</v>
      </c>
      <c r="H207" s="135">
        <f t="shared" si="21"/>
        <v>0</v>
      </c>
      <c r="I207" s="146">
        <f>IF(Table2589[[#This Row],[Year]]&gt;Closeout,SUM(C207:H207),0)</f>
        <v>38423.76930871066</v>
      </c>
    </row>
    <row r="208" spans="2:9" hidden="1">
      <c r="B208" s="134">
        <f>First_Year+'Q_Appendix B. Project Info'!B46</f>
        <v>2049</v>
      </c>
      <c r="C208" s="136">
        <f t="shared" si="16"/>
        <v>6628.1254548319557</v>
      </c>
      <c r="D208" s="135">
        <f t="shared" si="17"/>
        <v>-41.547274608151127</v>
      </c>
      <c r="E208" s="135">
        <f t="shared" si="18"/>
        <v>37275.392962447208</v>
      </c>
      <c r="F208" s="135">
        <f t="shared" si="19"/>
        <v>-6258.0567509837083</v>
      </c>
      <c r="G208" s="135">
        <f t="shared" si="20"/>
        <v>0</v>
      </c>
      <c r="H208" s="135">
        <f t="shared" si="21"/>
        <v>0</v>
      </c>
      <c r="I208" s="146">
        <f>IF(Table2589[[#This Row],[Year]]&gt;Closeout,SUM(C208:H208),0)</f>
        <v>37603.914391687307</v>
      </c>
    </row>
    <row r="209" spans="2:9" hidden="1">
      <c r="B209" s="134">
        <f>First_Year+'Q_Appendix B. Project Info'!B47</f>
        <v>2050</v>
      </c>
      <c r="C209" s="136">
        <f t="shared" si="16"/>
        <v>6655.9551319310149</v>
      </c>
      <c r="D209" s="135">
        <f t="shared" si="17"/>
        <v>-43.089816886629507</v>
      </c>
      <c r="E209" s="135">
        <f t="shared" si="18"/>
        <v>36838.98624169</v>
      </c>
      <c r="F209" s="135">
        <f t="shared" si="19"/>
        <v>-6667.7920820704348</v>
      </c>
      <c r="G209" s="135">
        <f t="shared" si="20"/>
        <v>0</v>
      </c>
      <c r="H209" s="135">
        <f t="shared" si="21"/>
        <v>0</v>
      </c>
      <c r="I209" s="146">
        <f>IF(Table2589[[#This Row],[Year]]&gt;Closeout,SUM(C209:H209),0)</f>
        <v>36784.059474663954</v>
      </c>
    </row>
    <row r="210" spans="2:9" hidden="1">
      <c r="B210" s="134">
        <f>First_Year+'Q_Appendix B. Project Info'!B48</f>
        <v>2051</v>
      </c>
      <c r="C210" s="136">
        <f t="shared" si="16"/>
        <v>6683.784809030074</v>
      </c>
      <c r="D210" s="135">
        <f t="shared" si="17"/>
        <v>-44.632359165107886</v>
      </c>
      <c r="E210" s="135">
        <f t="shared" si="18"/>
        <v>36402.579520932792</v>
      </c>
      <c r="F210" s="135">
        <f t="shared" si="19"/>
        <v>-7077.5274131571614</v>
      </c>
      <c r="G210" s="135">
        <f t="shared" si="20"/>
        <v>0</v>
      </c>
      <c r="H210" s="135">
        <f t="shared" si="21"/>
        <v>0</v>
      </c>
      <c r="I210" s="146">
        <f>IF(Table2589[[#This Row],[Year]]&gt;Closeout,SUM(C210:H210),0)</f>
        <v>35964.204557640594</v>
      </c>
    </row>
    <row r="211" spans="2:9" hidden="1">
      <c r="B211" s="134">
        <f>First_Year+'Q_Appendix B. Project Info'!B49</f>
        <v>2052</v>
      </c>
      <c r="C211" s="136">
        <f t="shared" si="16"/>
        <v>6711.6144861291332</v>
      </c>
      <c r="D211" s="135">
        <f t="shared" si="17"/>
        <v>-46.174901443586265</v>
      </c>
      <c r="E211" s="135">
        <f t="shared" si="18"/>
        <v>35966.172800175584</v>
      </c>
      <c r="F211" s="135">
        <f t="shared" si="19"/>
        <v>-7487.2627442438879</v>
      </c>
      <c r="G211" s="135">
        <f t="shared" si="20"/>
        <v>0</v>
      </c>
      <c r="H211" s="135">
        <f t="shared" si="21"/>
        <v>0</v>
      </c>
      <c r="I211" s="146">
        <f>IF(Table2589[[#This Row],[Year]]&gt;Closeout,SUM(C211:H211),0)</f>
        <v>35144.349640617242</v>
      </c>
    </row>
    <row r="212" spans="2:9" hidden="1">
      <c r="B212" s="134">
        <f>First_Year+'Q_Appendix B. Project Info'!B50</f>
        <v>2053</v>
      </c>
      <c r="C212" s="136">
        <f t="shared" si="16"/>
        <v>6739.4441632281923</v>
      </c>
      <c r="D212" s="135">
        <f t="shared" si="17"/>
        <v>-47.717443722064644</v>
      </c>
      <c r="E212" s="135">
        <f t="shared" si="18"/>
        <v>35529.766079418376</v>
      </c>
      <c r="F212" s="135">
        <f t="shared" si="19"/>
        <v>-7896.9980753306145</v>
      </c>
      <c r="G212" s="135">
        <f t="shared" si="20"/>
        <v>0</v>
      </c>
      <c r="H212" s="135">
        <f t="shared" si="21"/>
        <v>0</v>
      </c>
      <c r="I212" s="146">
        <f>IF(Table2589[[#This Row],[Year]]&gt;Closeout,SUM(C212:H212),0)</f>
        <v>34324.494723593889</v>
      </c>
    </row>
    <row r="213" spans="2:9" hidden="1">
      <c r="B213" s="134">
        <f>First_Year+'Q_Appendix B. Project Info'!B51</f>
        <v>2054</v>
      </c>
      <c r="C213" s="136">
        <f t="shared" si="16"/>
        <v>6767.2738403272515</v>
      </c>
      <c r="D213" s="135">
        <f t="shared" si="17"/>
        <v>-49.259986000543023</v>
      </c>
      <c r="E213" s="135">
        <f t="shared" si="18"/>
        <v>35093.359358661168</v>
      </c>
      <c r="F213" s="135">
        <f t="shared" si="19"/>
        <v>-8306.733406417341</v>
      </c>
      <c r="G213" s="135">
        <f t="shared" si="20"/>
        <v>0</v>
      </c>
      <c r="H213" s="135">
        <f t="shared" si="21"/>
        <v>0</v>
      </c>
      <c r="I213" s="146">
        <f>IF(Table2589[[#This Row],[Year]]&gt;Closeout,SUM(C213:H213),0)</f>
        <v>33504.639806570536</v>
      </c>
    </row>
    <row r="214" spans="2:9" hidden="1">
      <c r="B214" s="134">
        <f>First_Year+'Q_Appendix B. Project Info'!B52</f>
        <v>2055</v>
      </c>
      <c r="C214" s="136">
        <f t="shared" si="16"/>
        <v>6795.1035174263106</v>
      </c>
      <c r="D214" s="135">
        <f t="shared" si="17"/>
        <v>-50.802528279021402</v>
      </c>
      <c r="E214" s="135">
        <f t="shared" si="18"/>
        <v>34656.95263790396</v>
      </c>
      <c r="F214" s="135">
        <f t="shared" si="19"/>
        <v>-8716.4687375040685</v>
      </c>
      <c r="G214" s="135">
        <f t="shared" si="20"/>
        <v>0</v>
      </c>
      <c r="H214" s="135">
        <f t="shared" si="21"/>
        <v>0</v>
      </c>
      <c r="I214" s="146">
        <f>IF(Table2589[[#This Row],[Year]]&gt;Closeout,SUM(C214:H214),0)</f>
        <v>32684.784889547183</v>
      </c>
    </row>
    <row r="215" spans="2:9" hidden="1">
      <c r="B215" s="134">
        <f>First_Year+'Q_Appendix B. Project Info'!B53</f>
        <v>2056</v>
      </c>
      <c r="C215" s="136">
        <f t="shared" si="16"/>
        <v>6822.9331945253698</v>
      </c>
      <c r="D215" s="135">
        <f t="shared" si="17"/>
        <v>-52.345070557499781</v>
      </c>
      <c r="E215" s="135">
        <f t="shared" si="18"/>
        <v>34220.545917146752</v>
      </c>
      <c r="F215" s="135">
        <f t="shared" si="19"/>
        <v>-9126.2040685907959</v>
      </c>
      <c r="G215" s="135">
        <f t="shared" si="20"/>
        <v>0</v>
      </c>
      <c r="H215" s="135">
        <f t="shared" si="21"/>
        <v>0</v>
      </c>
      <c r="I215" s="146">
        <f>IF(Table2589[[#This Row],[Year]]&gt;Closeout,SUM(C215:H215),0)</f>
        <v>31864.929972523827</v>
      </c>
    </row>
    <row r="216" spans="2:9" hidden="1">
      <c r="B216" s="134">
        <f>First_Year+'Q_Appendix B. Project Info'!B54</f>
        <v>2057</v>
      </c>
      <c r="C216" s="136">
        <f t="shared" si="16"/>
        <v>6850.762871624429</v>
      </c>
      <c r="D216" s="135">
        <f t="shared" si="17"/>
        <v>-53.88761283597816</v>
      </c>
      <c r="E216" s="135">
        <f t="shared" si="18"/>
        <v>33784.139196389544</v>
      </c>
      <c r="F216" s="135">
        <f t="shared" si="19"/>
        <v>-9535.9393996775234</v>
      </c>
      <c r="G216" s="135">
        <f t="shared" si="20"/>
        <v>0</v>
      </c>
      <c r="H216" s="135">
        <f t="shared" si="21"/>
        <v>0</v>
      </c>
      <c r="I216" s="146">
        <f>IF(Table2589[[#This Row],[Year]]&gt;Closeout,SUM(C216:H216),0)</f>
        <v>31045.075055500471</v>
      </c>
    </row>
    <row r="217" spans="2:9" hidden="1">
      <c r="B217" s="134">
        <f>First_Year+'Q_Appendix B. Project Info'!B55</f>
        <v>2058</v>
      </c>
      <c r="C217" s="136">
        <f>'Q_2. Emissions Benefits'!C35</f>
        <v>6878.5925487234817</v>
      </c>
      <c r="D217" s="135">
        <f>'Q_2. Emissions Benefits'!D35</f>
        <v>-55.43015511445649</v>
      </c>
      <c r="E217" s="135">
        <f>'Q_2. Emissions Benefits'!E35</f>
        <v>33347.732475632249</v>
      </c>
      <c r="F217" s="136">
        <f>'Q_2. Emissions Benefits'!F35</f>
        <v>-9945.6747307642509</v>
      </c>
      <c r="G217" s="136">
        <f>'Q_2. Emissions Benefits'!G35</f>
        <v>0</v>
      </c>
      <c r="H217" s="136">
        <f>'Q_2. Emissions Benefits'!H35</f>
        <v>0</v>
      </c>
      <c r="I217" s="146">
        <f>IF(Table2589[[#This Row],[Year]]&gt;Closeout,SUM(C217:H217),0)</f>
        <v>30225.220138477023</v>
      </c>
    </row>
    <row r="218" spans="2:9" hidden="1">
      <c r="B218" s="134" t="s">
        <v>28</v>
      </c>
      <c r="C218" s="136">
        <f>SUBTOTAL(109,Table2589[NOX])</f>
        <v>0</v>
      </c>
      <c r="D218" s="136">
        <f>SUBTOTAL(109,Table2589[SOx])</f>
        <v>0</v>
      </c>
      <c r="E218" s="136">
        <f>SUBTOTAL(109,Table2589[PM2.5])</f>
        <v>0</v>
      </c>
      <c r="F218" s="136">
        <f>SUBTOTAL(109,Table2589[CO2])</f>
        <v>0</v>
      </c>
      <c r="G218" s="136">
        <f>SUBTOTAL(109,Table2589[PM10])</f>
        <v>0</v>
      </c>
      <c r="H218" s="136">
        <f>SUBTOTAL(109,Table2589[VOC])</f>
        <v>0</v>
      </c>
      <c r="I218" s="146">
        <f>SUBTOTAL(109,Table2589[Total])</f>
        <v>0</v>
      </c>
    </row>
    <row r="219" spans="2:9">
      <c r="B219" s="134"/>
      <c r="C219" s="136"/>
      <c r="D219" s="135"/>
      <c r="E219" s="135"/>
      <c r="F219" s="136"/>
      <c r="G219" s="136"/>
      <c r="H219" s="136"/>
      <c r="I219" s="136"/>
    </row>
    <row r="220" spans="2:9">
      <c r="B220" s="134"/>
      <c r="C220" s="136"/>
      <c r="D220" s="135"/>
      <c r="E220" s="135"/>
      <c r="F220" s="136"/>
      <c r="G220" s="136"/>
      <c r="H220" s="136"/>
      <c r="I220" s="136"/>
    </row>
  </sheetData>
  <mergeCells count="6">
    <mergeCell ref="B12:I12"/>
    <mergeCell ref="A1:I1"/>
    <mergeCell ref="B8:I8"/>
    <mergeCell ref="B9:I9"/>
    <mergeCell ref="B10:I10"/>
    <mergeCell ref="B11:I11"/>
  </mergeCells>
  <dataValidations count="1">
    <dataValidation allowBlank="1" showInputMessage="1" showErrorMessage="1" sqref="A1" xr:uid="{EB1E51C9-F878-40CA-AFDB-49E6E239A5C8}"/>
  </dataValidations>
  <pageMargins left="0.7" right="0.7" top="0.75" bottom="0.75" header="0.3" footer="0.3"/>
  <pageSetup scale="81" fitToHeight="0" orientation="landscape" r:id="rId1"/>
  <rowBreaks count="4" manualBreakCount="4">
    <brk id="12" max="16383" man="1"/>
    <brk id="53" max="16383" man="1"/>
    <brk id="94" max="16383" man="1"/>
    <brk id="135" max="16383" man="1"/>
  </rowBreaks>
  <drawing r:id="rId2"/>
  <tableParts count="5">
    <tablePart r:id="rId3"/>
    <tablePart r:id="rId4"/>
    <tablePart r:id="rId5"/>
    <tablePart r:id="rId6"/>
    <tablePart r:id="rId7"/>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pageSetUpPr fitToPage="1"/>
  </sheetPr>
  <dimension ref="A1:I45"/>
  <sheetViews>
    <sheetView showGridLines="0" zoomScaleNormal="100" workbookViewId="0">
      <selection activeCell="A11" sqref="A11"/>
    </sheetView>
  </sheetViews>
  <sheetFormatPr defaultColWidth="9.140625" defaultRowHeight="12.75"/>
  <cols>
    <col min="1" max="1" width="21.7109375" style="82" customWidth="1"/>
    <col min="2" max="8" width="15.7109375" style="82" customWidth="1"/>
    <col min="9" max="9" width="25.7109375" style="82" customWidth="1"/>
    <col min="10" max="16384" width="9.140625" style="82"/>
  </cols>
  <sheetData>
    <row r="1" spans="1:9" ht="15" customHeight="1">
      <c r="A1" s="149" t="s">
        <v>149</v>
      </c>
      <c r="B1" s="150"/>
      <c r="C1" s="150"/>
      <c r="D1" s="150"/>
      <c r="E1" s="150"/>
      <c r="F1" s="150"/>
      <c r="G1" s="150"/>
      <c r="H1" s="150"/>
      <c r="I1" s="150"/>
    </row>
    <row r="2" spans="1:9" ht="15" customHeight="1">
      <c r="A2" s="87" t="s">
        <v>1</v>
      </c>
      <c r="B2" s="71" t="str">
        <f>Project_Name</f>
        <v>Completing the I-95 Missing Move and Quonset Connector Ramps</v>
      </c>
    </row>
    <row r="3" spans="1:9" ht="15" customHeight="1">
      <c r="A3" s="87" t="s">
        <v>2</v>
      </c>
      <c r="B3" s="71" t="s">
        <v>29</v>
      </c>
    </row>
    <row r="4" spans="1:9" ht="15" customHeight="1">
      <c r="A4" s="87" t="s">
        <v>4</v>
      </c>
      <c r="B4" s="88">
        <f>Date</f>
        <v>45159</v>
      </c>
    </row>
    <row r="5" spans="1:9" ht="30" customHeight="1" thickBot="1"/>
    <row r="6" spans="1:9" ht="48.75" customHeight="1">
      <c r="A6" s="496" t="s">
        <v>150</v>
      </c>
      <c r="B6" s="481"/>
      <c r="C6" s="481"/>
      <c r="D6" s="481"/>
      <c r="E6" s="481"/>
      <c r="F6" s="481"/>
      <c r="G6" s="481"/>
      <c r="H6" s="481"/>
      <c r="I6" s="482"/>
    </row>
    <row r="7" spans="1:9" ht="49.5" customHeight="1">
      <c r="A7" s="483"/>
      <c r="B7" s="484"/>
      <c r="C7" s="484"/>
      <c r="D7" s="484"/>
      <c r="E7" s="484"/>
      <c r="F7" s="484"/>
      <c r="G7" s="484"/>
      <c r="H7" s="484"/>
      <c r="I7" s="485"/>
    </row>
    <row r="8" spans="1:9" ht="30" customHeight="1">
      <c r="A8" s="483"/>
      <c r="B8" s="484"/>
      <c r="C8" s="484"/>
      <c r="D8" s="484"/>
      <c r="E8" s="484"/>
      <c r="F8" s="484"/>
      <c r="G8" s="484"/>
      <c r="H8" s="484"/>
      <c r="I8" s="485"/>
    </row>
    <row r="9" spans="1:9" ht="30" customHeight="1">
      <c r="A9" s="483"/>
      <c r="B9" s="484"/>
      <c r="C9" s="484"/>
      <c r="D9" s="484"/>
      <c r="E9" s="484"/>
      <c r="F9" s="484"/>
      <c r="G9" s="484"/>
      <c r="H9" s="484"/>
      <c r="I9" s="485"/>
    </row>
    <row r="10" spans="1:9" ht="30" customHeight="1" thickBot="1">
      <c r="A10" s="486"/>
      <c r="B10" s="487"/>
      <c r="C10" s="487"/>
      <c r="D10" s="487"/>
      <c r="E10" s="487"/>
      <c r="F10" s="487"/>
      <c r="G10" s="487"/>
      <c r="H10" s="487"/>
      <c r="I10" s="488"/>
    </row>
    <row r="11" spans="1:9">
      <c r="A11" s="71"/>
      <c r="B11" s="148"/>
      <c r="C11" s="148"/>
      <c r="D11" s="148"/>
      <c r="E11" s="148"/>
      <c r="F11" s="148"/>
      <c r="G11" s="148"/>
      <c r="H11" s="148"/>
      <c r="I11" s="148"/>
    </row>
    <row r="12" spans="1:9">
      <c r="B12" s="71" t="s">
        <v>151</v>
      </c>
    </row>
    <row r="13" spans="1:9">
      <c r="B13" s="71"/>
    </row>
    <row r="14" spans="1:9" s="112" customFormat="1" ht="38.25">
      <c r="B14" s="170" t="s">
        <v>152</v>
      </c>
      <c r="C14" s="170" t="s">
        <v>153</v>
      </c>
      <c r="D14" s="170" t="s">
        <v>154</v>
      </c>
      <c r="E14" s="170" t="s">
        <v>155</v>
      </c>
      <c r="F14" s="170" t="s">
        <v>156</v>
      </c>
      <c r="G14" s="170" t="s">
        <v>157</v>
      </c>
      <c r="H14" s="170" t="s">
        <v>158</v>
      </c>
      <c r="I14" s="122" t="s">
        <v>159</v>
      </c>
    </row>
    <row r="15" spans="1:9">
      <c r="B15" s="168" t="s">
        <v>160</v>
      </c>
      <c r="C15" s="169" cm="1">
        <f t="array" ref="C15">Traffic_27NB</f>
        <v>221892</v>
      </c>
      <c r="D15" s="169" cm="1">
        <f t="array" ref="D15">VMT_27NB</f>
        <v>707210.63</v>
      </c>
      <c r="E15" s="169" cm="1">
        <f t="array" ref="E15">VHT_27NB</f>
        <v>15151.485980555555</v>
      </c>
      <c r="F15" s="169" cm="1">
        <f t="array" ref="F15">MPH_27NB</f>
        <v>47.195999999999998</v>
      </c>
      <c r="G15" s="169" cm="1">
        <f t="array" ref="G15">AvgDelay_27NB</f>
        <v>6.5403703703703709E-3</v>
      </c>
      <c r="H15" s="58">
        <v>0</v>
      </c>
      <c r="I15" s="350">
        <f>Table3.1_TTS_Sum_Open[[#This Row],[Travel Time Savings Benefit ($/Day)]]*365</f>
        <v>0</v>
      </c>
    </row>
    <row r="16" spans="1:9" ht="25.5">
      <c r="B16" s="168" t="s">
        <v>161</v>
      </c>
      <c r="C16" s="169" cm="1">
        <f t="array" ref="C16">Traffic_27PA</f>
        <v>221766</v>
      </c>
      <c r="D16" s="169" cm="1">
        <f t="array" ref="D16">VMT_27PA</f>
        <v>708319.05999999994</v>
      </c>
      <c r="E16" s="169" cm="1">
        <f t="array" ref="E16">VHT_27PA</f>
        <v>14993.327102777777</v>
      </c>
      <c r="F16" s="169" cm="1">
        <f t="array" ref="F16">MPH_27PA</f>
        <v>47.64</v>
      </c>
      <c r="G16" s="169" cm="1">
        <f t="array" ref="G16">AvgDelay_27PA</f>
        <v>6.1016666666666667E-3</v>
      </c>
      <c r="H16" s="58" cm="1">
        <f t="array" ref="H16">TTSB_27/365</f>
        <v>3861.5176924159969</v>
      </c>
      <c r="I16" s="350">
        <f>Table3.1_TTS_Sum_Open[[#This Row],[Travel Time Savings Benefit ($/Day)]]*365</f>
        <v>1409453.9577318388</v>
      </c>
    </row>
    <row r="18" spans="2:9">
      <c r="B18" s="71" t="s">
        <v>162</v>
      </c>
    </row>
    <row r="19" spans="2:9">
      <c r="B19" s="71"/>
    </row>
    <row r="20" spans="2:9" ht="38.25">
      <c r="B20" s="170" t="s">
        <v>152</v>
      </c>
      <c r="C20" s="170" t="s">
        <v>153</v>
      </c>
      <c r="D20" s="170" t="s">
        <v>154</v>
      </c>
      <c r="E20" s="170" t="s">
        <v>155</v>
      </c>
      <c r="F20" s="170" t="s">
        <v>156</v>
      </c>
      <c r="G20" s="170" t="s">
        <v>157</v>
      </c>
      <c r="H20" s="170" t="s">
        <v>158</v>
      </c>
      <c r="I20" s="122" t="s">
        <v>159</v>
      </c>
    </row>
    <row r="21" spans="2:9">
      <c r="B21" s="168" t="s">
        <v>163</v>
      </c>
      <c r="C21" s="169" cm="1">
        <f t="array" ref="C21">Traffic_57NB</f>
        <v>255302</v>
      </c>
      <c r="D21" s="169" cm="1">
        <f t="array" ref="D21">VMT_57NB</f>
        <v>790801.94000000006</v>
      </c>
      <c r="E21" s="169" cm="1">
        <f t="array" ref="E21">VHT_57NB</f>
        <v>25823.43168888889</v>
      </c>
      <c r="F21" s="169" cm="1">
        <f t="array" ref="F21">MPH_57NB</f>
        <v>35.909333333333322</v>
      </c>
      <c r="G21" s="169" cm="1">
        <f t="array" ref="G21">AvgDelay_57NB</f>
        <v>3.6745740740740752E-2</v>
      </c>
      <c r="H21" s="58">
        <v>0</v>
      </c>
      <c r="I21" s="350">
        <f>Table3.2_TTS_Sum_Des[[#This Row],[Travel Time Savings Benefit ($/Day)]]*365</f>
        <v>0</v>
      </c>
    </row>
    <row r="22" spans="2:9" ht="25.5">
      <c r="B22" s="168" t="s">
        <v>164</v>
      </c>
      <c r="C22" s="169" cm="1">
        <f t="array" ref="C22">Traffic_57PA</f>
        <v>250996</v>
      </c>
      <c r="D22" s="169" cm="1">
        <f t="array" ref="D22">VMT_57PA</f>
        <v>795377.31</v>
      </c>
      <c r="E22" s="169" cm="1">
        <f t="array" ref="E22">VHT_57PA</f>
        <v>20613.333130555555</v>
      </c>
      <c r="F22" s="169" cm="1">
        <f t="array" ref="F22">MPH_57PA</f>
        <v>41.553333333333327</v>
      </c>
      <c r="G22" s="169" cm="1">
        <f t="array" ref="G22">AvgDelay_57PA</f>
        <v>1.8490000000000003E-2</v>
      </c>
      <c r="H22" s="58" cm="1">
        <f t="array" ref="H22">TTSB_57/365</f>
        <v>164887.6798797324</v>
      </c>
      <c r="I22" s="350">
        <f>Table3.2_TTS_Sum_Des[[#This Row],[Travel Time Savings Benefit ($/Day)]]*365</f>
        <v>60184003.156102329</v>
      </c>
    </row>
    <row r="23" spans="2:9">
      <c r="B23" s="168"/>
      <c r="C23" s="169"/>
      <c r="D23" s="169"/>
      <c r="E23" s="169"/>
      <c r="F23" s="169"/>
      <c r="G23" s="169"/>
      <c r="H23" s="58"/>
    </row>
    <row r="24" spans="2:9">
      <c r="B24" s="71" t="s">
        <v>165</v>
      </c>
    </row>
    <row r="26" spans="2:9" ht="38.25">
      <c r="B26" s="122" t="s">
        <v>152</v>
      </c>
      <c r="C26" s="170" t="s">
        <v>153</v>
      </c>
      <c r="D26" s="170" t="s">
        <v>154</v>
      </c>
      <c r="E26" s="170" t="s">
        <v>155</v>
      </c>
      <c r="F26" s="170" t="s">
        <v>156</v>
      </c>
      <c r="G26" s="170" t="s">
        <v>157</v>
      </c>
      <c r="H26" s="170" t="s">
        <v>158</v>
      </c>
      <c r="I26" s="122" t="s">
        <v>159</v>
      </c>
    </row>
    <row r="27" spans="2:9" ht="25.5">
      <c r="B27" s="170" t="s">
        <v>166</v>
      </c>
      <c r="C27" s="171">
        <f>(C21-C15)/30</f>
        <v>1113.6666666666667</v>
      </c>
      <c r="D27" s="171">
        <f t="shared" ref="D27:H27" si="0">(D21-D15)/30</f>
        <v>2786.3770000000018</v>
      </c>
      <c r="E27" s="171">
        <f t="shared" si="0"/>
        <v>355.73152361111113</v>
      </c>
      <c r="F27" s="171">
        <f t="shared" si="0"/>
        <v>-0.37622222222222251</v>
      </c>
      <c r="G27" s="171">
        <f t="shared" si="0"/>
        <v>1.0068456790123461E-3</v>
      </c>
      <c r="H27" s="218">
        <f t="shared" si="0"/>
        <v>0</v>
      </c>
      <c r="I27" s="351">
        <f>Table3.3_TTS_Rates[[#This Row],[Travel Time Savings Benefit ($/Day)]]*365</f>
        <v>0</v>
      </c>
    </row>
    <row r="28" spans="2:9" ht="25.5">
      <c r="B28" s="170" t="s">
        <v>167</v>
      </c>
      <c r="C28" s="171">
        <f>(C22-C16)/30</f>
        <v>974.33333333333337</v>
      </c>
      <c r="D28" s="171">
        <f t="shared" ref="D28:H28" si="1">(D22-D16)/30</f>
        <v>2901.9416666666707</v>
      </c>
      <c r="E28" s="171">
        <f t="shared" si="1"/>
        <v>187.33353425925924</v>
      </c>
      <c r="F28" s="171">
        <f t="shared" si="1"/>
        <v>-0.20288888888888909</v>
      </c>
      <c r="G28" s="171">
        <f t="shared" si="1"/>
        <v>4.1294444444444457E-4</v>
      </c>
      <c r="H28" s="218">
        <f t="shared" si="1"/>
        <v>5367.5387395772132</v>
      </c>
      <c r="I28" s="351">
        <f>Table3.3_TTS_Rates[[#This Row],[Travel Time Savings Benefit ($/Day)]]*365</f>
        <v>1959151.6399456828</v>
      </c>
    </row>
    <row r="30" spans="2:9">
      <c r="B30" s="71" t="s">
        <v>168</v>
      </c>
    </row>
    <row r="31" spans="2:9">
      <c r="E31" s="81"/>
      <c r="F31" s="81"/>
    </row>
    <row r="32" spans="2:9" ht="38.25">
      <c r="B32" s="122" t="s">
        <v>152</v>
      </c>
      <c r="C32" s="122" t="s">
        <v>169</v>
      </c>
      <c r="D32" s="122" t="s">
        <v>170</v>
      </c>
      <c r="E32" s="122" t="s">
        <v>171</v>
      </c>
      <c r="F32" s="122" t="s">
        <v>156</v>
      </c>
      <c r="G32" s="122" t="s">
        <v>172</v>
      </c>
      <c r="H32" s="122" t="s">
        <v>173</v>
      </c>
      <c r="I32" s="122" t="s">
        <v>96</v>
      </c>
    </row>
    <row r="33" spans="2:9" ht="25.5">
      <c r="B33" s="81" t="s">
        <v>174</v>
      </c>
      <c r="C33" s="265">
        <f>Table3D.1_DailyTTS_NB[[#Totals],[Total Traffic in Network (Veh/Day)]]</f>
        <v>236926.5</v>
      </c>
      <c r="D33" s="265">
        <f>Table3D.1_DailyTTS_NB[[#Totals],[Vehicle Miles Traveled (VMT/Day)]]</f>
        <v>744826.71950000012</v>
      </c>
      <c r="E33" s="265">
        <f>Table3D.1_DailyTTS_NB[[#Totals],[Vehicle Hours Traveled (VHT/Day)]]</f>
        <v>19953.861549305559</v>
      </c>
      <c r="F33" s="265">
        <f>Table3D.1_DailyTTS_NB[[#Totals],[Average Speed (MPH)]]</f>
        <v>42.116999999999997</v>
      </c>
      <c r="G33" s="265">
        <f>Table3D.1_DailyTTS_NB[[#Totals],[Total Delay (hrs/day)]]</f>
        <v>5683.2411501388879</v>
      </c>
      <c r="H33" s="82">
        <v>0</v>
      </c>
      <c r="I33" s="82">
        <f>Table53[[#This Row],[Travel Time Savings Benefit (Avg. $/Year)]]*30</f>
        <v>0</v>
      </c>
    </row>
    <row r="34" spans="2:9" ht="25.5">
      <c r="B34" s="81" t="s">
        <v>175</v>
      </c>
      <c r="C34" s="164">
        <f>Table3D.2_DailyTTS_PA[[#Totals],[Total Traffic in Network (Veh/Day)]]</f>
        <v>234919.5</v>
      </c>
      <c r="D34" s="164">
        <f>Table3D.2_DailyTTS_PA[[#Totals],[Vehicle Miles Traveled (VMT/Day)]]</f>
        <v>747495.27249999996</v>
      </c>
      <c r="E34" s="164">
        <f>Table3D.2_DailyTTS_PA[[#Totals],[Vehicle Hours Traveled (VHT/Day)]]</f>
        <v>17522.329815277775</v>
      </c>
      <c r="F34" s="164">
        <f>Table3D.2_DailyTTS_PA[[#Totals],[Average Speed (MPH)]]</f>
        <v>44.900999999999996</v>
      </c>
      <c r="G34" s="164">
        <f>Table3D.2_DailyTTS_PA[[#Totals],[Total Delay (hrs/day)]]</f>
        <v>3253.1469591666664</v>
      </c>
      <c r="H34" s="126">
        <f>Table3D.3_TTSMoneySum[[#Totals],[Annual Benefits, Low (270 Days)]]/30</f>
        <v>26527175.23724626</v>
      </c>
      <c r="I34" s="186">
        <f>Table53[[#This Row],[Travel Time Savings Benefit (Avg. $/Year)]]*30</f>
        <v>795815257.11738777</v>
      </c>
    </row>
    <row r="35" spans="2:9" ht="15" customHeight="1">
      <c r="B35" s="81" t="s">
        <v>28</v>
      </c>
      <c r="C35" s="152">
        <f>C34-C33</f>
        <v>-2007</v>
      </c>
      <c r="D35" s="152">
        <f t="shared" ref="D35:H35" si="2">D34-D33</f>
        <v>2668.5529999998398</v>
      </c>
      <c r="E35" s="152">
        <f t="shared" si="2"/>
        <v>-2431.5317340277834</v>
      </c>
      <c r="F35" s="152">
        <f t="shared" si="2"/>
        <v>2.7839999999999989</v>
      </c>
      <c r="G35" s="152">
        <f t="shared" si="2"/>
        <v>-2430.0941909722214</v>
      </c>
      <c r="H35" s="175">
        <f t="shared" si="2"/>
        <v>26527175.23724626</v>
      </c>
      <c r="I35" s="176">
        <f>SUBTOTAL(109,Table53[30-Year Total])</f>
        <v>795815257.11738777</v>
      </c>
    </row>
    <row r="36" spans="2:9">
      <c r="C36" s="81"/>
      <c r="D36" s="81"/>
      <c r="G36" s="81"/>
      <c r="H36" s="81"/>
    </row>
    <row r="37" spans="2:9" ht="15" customHeight="1">
      <c r="B37" s="81"/>
    </row>
    <row r="38" spans="2:9" ht="32.25" customHeight="1">
      <c r="B38" s="81"/>
      <c r="I38" s="81"/>
    </row>
    <row r="39" spans="2:9">
      <c r="B39" s="81"/>
      <c r="I39" s="81"/>
    </row>
    <row r="40" spans="2:9">
      <c r="B40" s="81"/>
    </row>
    <row r="41" spans="2:9">
      <c r="B41" s="81"/>
    </row>
    <row r="42" spans="2:9">
      <c r="B42" s="81"/>
    </row>
    <row r="43" spans="2:9">
      <c r="B43" s="81"/>
    </row>
    <row r="44" spans="2:9" ht="15" customHeight="1"/>
    <row r="45" spans="2:9" ht="15" customHeight="1"/>
  </sheetData>
  <mergeCells count="1">
    <mergeCell ref="A6:I10"/>
  </mergeCells>
  <pageMargins left="0.7" right="0.7" top="0.75" bottom="0.75" header="0.3" footer="0.3"/>
  <pageSetup paperSize="3" scale="68" orientation="landscape" r:id="rId1"/>
  <drawing r:id="rId2"/>
  <tableParts count="4">
    <tablePart r:id="rId3"/>
    <tablePart r:id="rId4"/>
    <tablePart r:id="rId5"/>
    <tablePart r:id="rId6"/>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C1118-46BB-4DA2-91A6-CE68BF27A2F2}">
  <sheetPr>
    <tabColor theme="0" tint="-0.249977111117893"/>
    <pageSetUpPr fitToPage="1"/>
  </sheetPr>
  <dimension ref="A1:I152"/>
  <sheetViews>
    <sheetView showGridLines="0" topLeftCell="A7" zoomScale="85" zoomScaleNormal="85" workbookViewId="0">
      <selection activeCell="B9" sqref="B9:I9"/>
    </sheetView>
  </sheetViews>
  <sheetFormatPr defaultColWidth="9.140625" defaultRowHeight="12.75"/>
  <cols>
    <col min="1" max="1" width="21.7109375" style="61" customWidth="1"/>
    <col min="2" max="8" width="15.7109375" style="67" customWidth="1"/>
    <col min="9" max="9" width="21.7109375" style="61" customWidth="1"/>
    <col min="10" max="15" width="9.140625" style="61"/>
    <col min="16" max="16" width="16.140625" style="61" bestFit="1" customWidth="1"/>
    <col min="17" max="16384" width="9.140625" style="61"/>
  </cols>
  <sheetData>
    <row r="1" spans="1:9" ht="15" customHeight="1">
      <c r="A1" s="501" t="s">
        <v>176</v>
      </c>
      <c r="B1" s="501"/>
      <c r="C1" s="501"/>
      <c r="D1" s="501"/>
      <c r="E1" s="501"/>
      <c r="F1" s="501"/>
      <c r="G1" s="501"/>
      <c r="H1" s="501"/>
      <c r="I1" s="501"/>
    </row>
    <row r="2" spans="1:9" ht="15" customHeight="1">
      <c r="A2" s="139" t="s">
        <v>1</v>
      </c>
      <c r="B2" s="63" t="str">
        <f>Project_Name</f>
        <v>Completing the I-95 Missing Move and Quonset Connector Ramps</v>
      </c>
      <c r="I2" s="67"/>
    </row>
    <row r="3" spans="1:9" ht="15" customHeight="1">
      <c r="A3" s="139" t="s">
        <v>2</v>
      </c>
      <c r="B3" s="63" t="s">
        <v>29</v>
      </c>
      <c r="I3" s="67"/>
    </row>
    <row r="4" spans="1:9" ht="15" customHeight="1">
      <c r="A4" s="139" t="s">
        <v>4</v>
      </c>
      <c r="B4" s="64">
        <f>Date</f>
        <v>45159</v>
      </c>
      <c r="I4" s="67"/>
    </row>
    <row r="5" spans="1:9" ht="30" customHeight="1">
      <c r="A5" s="139"/>
      <c r="B5" s="64"/>
      <c r="I5" s="67"/>
    </row>
    <row r="6" spans="1:9">
      <c r="A6" s="139"/>
      <c r="B6" s="64"/>
      <c r="I6" s="67"/>
    </row>
    <row r="7" spans="1:9" ht="15" customHeight="1" thickBot="1">
      <c r="A7" s="67"/>
      <c r="I7" s="67"/>
    </row>
    <row r="8" spans="1:9" ht="99.95" customHeight="1" thickBot="1">
      <c r="A8" s="102" t="s">
        <v>99</v>
      </c>
      <c r="B8" s="502" t="s">
        <v>177</v>
      </c>
      <c r="C8" s="494"/>
      <c r="D8" s="494"/>
      <c r="E8" s="494"/>
      <c r="F8" s="494"/>
      <c r="G8" s="494"/>
      <c r="H8" s="494"/>
      <c r="I8" s="495"/>
    </row>
    <row r="9" spans="1:9" ht="147" customHeight="1" thickBot="1">
      <c r="A9" s="102" t="s">
        <v>101</v>
      </c>
      <c r="B9" s="489" t="s">
        <v>178</v>
      </c>
      <c r="C9" s="494"/>
      <c r="D9" s="494"/>
      <c r="E9" s="494"/>
      <c r="F9" s="494"/>
      <c r="G9" s="494"/>
      <c r="H9" s="494"/>
      <c r="I9" s="495"/>
    </row>
    <row r="10" spans="1:9" ht="30" customHeight="1" thickBot="1">
      <c r="A10" s="102" t="s">
        <v>103</v>
      </c>
      <c r="B10" s="489" t="s">
        <v>179</v>
      </c>
      <c r="C10" s="490"/>
      <c r="D10" s="490"/>
      <c r="E10" s="490"/>
      <c r="F10" s="490"/>
      <c r="G10" s="490"/>
      <c r="H10" s="490"/>
      <c r="I10" s="491"/>
    </row>
    <row r="11" spans="1:9" ht="44.25" customHeight="1" thickBot="1">
      <c r="A11" s="102" t="s">
        <v>105</v>
      </c>
      <c r="B11" s="489" t="s">
        <v>180</v>
      </c>
      <c r="C11" s="490"/>
      <c r="D11" s="490"/>
      <c r="E11" s="490"/>
      <c r="F11" s="490"/>
      <c r="G11" s="490"/>
      <c r="H11" s="490"/>
      <c r="I11" s="491"/>
    </row>
    <row r="12" spans="1:9" ht="43.5" customHeight="1" thickBot="1">
      <c r="A12" s="102" t="s">
        <v>107</v>
      </c>
      <c r="B12" s="489" t="s">
        <v>181</v>
      </c>
      <c r="C12" s="490"/>
      <c r="D12" s="490"/>
      <c r="E12" s="490"/>
      <c r="F12" s="490"/>
      <c r="G12" s="490"/>
      <c r="H12" s="490"/>
      <c r="I12" s="491"/>
    </row>
    <row r="13" spans="1:9">
      <c r="A13" s="138"/>
      <c r="B13" s="104"/>
      <c r="C13" s="104"/>
      <c r="D13" s="104"/>
      <c r="E13" s="104"/>
      <c r="F13" s="104"/>
      <c r="G13" s="104"/>
      <c r="H13" s="104"/>
      <c r="I13" s="138"/>
    </row>
    <row r="14" spans="1:9">
      <c r="B14" s="63" t="s">
        <v>182</v>
      </c>
    </row>
    <row r="15" spans="1:9">
      <c r="A15" s="67"/>
      <c r="B15" s="90"/>
      <c r="C15" s="90"/>
      <c r="D15" s="90"/>
      <c r="E15" s="90"/>
      <c r="F15" s="90"/>
      <c r="G15" s="90"/>
      <c r="H15" s="90"/>
      <c r="I15" s="82"/>
    </row>
    <row r="16" spans="1:9" s="77" customFormat="1" ht="25.5">
      <c r="A16" s="84"/>
      <c r="B16" s="122" t="s">
        <v>183</v>
      </c>
      <c r="C16" s="122" t="s">
        <v>184</v>
      </c>
      <c r="D16" s="122" t="s">
        <v>185</v>
      </c>
      <c r="E16" s="122" t="s">
        <v>186</v>
      </c>
      <c r="F16" s="122" t="s">
        <v>187</v>
      </c>
      <c r="G16" s="122" t="s">
        <v>188</v>
      </c>
      <c r="H16" s="122" t="s">
        <v>189</v>
      </c>
    </row>
    <row r="17" spans="1:8">
      <c r="A17" s="140"/>
      <c r="B17" s="142">
        <v>0.20833333333333334</v>
      </c>
      <c r="C17" s="363">
        <v>6259</v>
      </c>
      <c r="D17" s="363">
        <v>19846.48</v>
      </c>
      <c r="E17" s="363">
        <v>407.03773333333334</v>
      </c>
      <c r="F17" s="363">
        <v>48.76</v>
      </c>
      <c r="G17" s="363">
        <v>25.193838888888891</v>
      </c>
      <c r="H17" s="364">
        <v>4.0249999999999999E-3</v>
      </c>
    </row>
    <row r="18" spans="1:8">
      <c r="A18" s="67"/>
      <c r="B18" s="142">
        <v>0.25</v>
      </c>
      <c r="C18" s="363">
        <v>10446</v>
      </c>
      <c r="D18" s="363">
        <v>34186.1</v>
      </c>
      <c r="E18" s="363">
        <v>699.62524166666674</v>
      </c>
      <c r="F18" s="363">
        <v>48.86</v>
      </c>
      <c r="G18" s="363">
        <v>46.041297222222227</v>
      </c>
      <c r="H18" s="364">
        <v>4.4083333333333335E-3</v>
      </c>
    </row>
    <row r="19" spans="1:8">
      <c r="A19" s="67"/>
      <c r="B19" s="142">
        <v>0.29166666666666702</v>
      </c>
      <c r="C19" s="363">
        <v>17572</v>
      </c>
      <c r="D19" s="363">
        <v>57829.05</v>
      </c>
      <c r="E19" s="363">
        <v>1233.5577833333332</v>
      </c>
      <c r="F19" s="363">
        <v>46.88</v>
      </c>
      <c r="G19" s="363">
        <v>127.10076666666667</v>
      </c>
      <c r="H19" s="364">
        <v>7.2333333333333329E-3</v>
      </c>
    </row>
    <row r="20" spans="1:8">
      <c r="A20" s="141"/>
      <c r="B20" s="142">
        <v>0.33333333333333298</v>
      </c>
      <c r="C20" s="363">
        <v>16024</v>
      </c>
      <c r="D20" s="363">
        <v>52430.02</v>
      </c>
      <c r="E20" s="363">
        <v>1098.0576083333333</v>
      </c>
      <c r="F20" s="363">
        <v>47.75</v>
      </c>
      <c r="G20" s="363">
        <v>95.791858333333337</v>
      </c>
      <c r="H20" s="364">
        <v>5.977777777777778E-3</v>
      </c>
    </row>
    <row r="21" spans="1:8">
      <c r="A21" s="67"/>
      <c r="B21" s="142">
        <v>0.375</v>
      </c>
      <c r="C21" s="363">
        <v>12889</v>
      </c>
      <c r="D21" s="363">
        <v>42263.8</v>
      </c>
      <c r="E21" s="363">
        <v>868.02177222222224</v>
      </c>
      <c r="F21" s="363">
        <v>48.69</v>
      </c>
      <c r="G21" s="363">
        <v>61.045516666666664</v>
      </c>
      <c r="H21" s="364">
        <v>4.7361111111111111E-3</v>
      </c>
    </row>
    <row r="22" spans="1:8">
      <c r="A22" s="67"/>
      <c r="B22" s="142">
        <v>0.41666666666666702</v>
      </c>
      <c r="C22" s="363">
        <v>11730</v>
      </c>
      <c r="D22" s="363">
        <v>38535.85</v>
      </c>
      <c r="E22" s="363">
        <v>787.63253055555549</v>
      </c>
      <c r="F22" s="363">
        <v>48.93</v>
      </c>
      <c r="G22" s="363">
        <v>51.99722222222222</v>
      </c>
      <c r="H22" s="364">
        <v>4.4333333333333334E-3</v>
      </c>
    </row>
    <row r="23" spans="1:8">
      <c r="A23" s="67"/>
      <c r="B23" s="142">
        <v>0.45833333333333298</v>
      </c>
      <c r="C23" s="363">
        <v>11722</v>
      </c>
      <c r="D23" s="363">
        <v>38737.269999999997</v>
      </c>
      <c r="E23" s="363">
        <v>791.51400000000001</v>
      </c>
      <c r="F23" s="363">
        <v>48.94</v>
      </c>
      <c r="G23" s="363">
        <v>52.113838888888893</v>
      </c>
      <c r="H23" s="364">
        <v>4.4444444444444444E-3</v>
      </c>
    </row>
    <row r="24" spans="1:8">
      <c r="A24" s="67"/>
      <c r="B24" s="142">
        <v>0.5</v>
      </c>
      <c r="C24" s="363">
        <v>13591</v>
      </c>
      <c r="D24" s="363">
        <v>42740.800000000003</v>
      </c>
      <c r="E24" s="363">
        <v>893.58102222222226</v>
      </c>
      <c r="F24" s="363">
        <v>47.83</v>
      </c>
      <c r="G24" s="363">
        <v>72.645738888888886</v>
      </c>
      <c r="H24" s="364">
        <v>5.3444444444444442E-3</v>
      </c>
    </row>
    <row r="25" spans="1:8">
      <c r="A25" s="67"/>
      <c r="B25" s="142">
        <v>0.54166666666666696</v>
      </c>
      <c r="C25" s="363">
        <v>13943</v>
      </c>
      <c r="D25" s="363">
        <v>44686.64</v>
      </c>
      <c r="E25" s="363">
        <v>949.60836944444441</v>
      </c>
      <c r="F25" s="363">
        <v>47.06</v>
      </c>
      <c r="G25" s="363">
        <v>90.012808333333325</v>
      </c>
      <c r="H25" s="364">
        <v>6.4555555555555555E-3</v>
      </c>
    </row>
    <row r="26" spans="1:8">
      <c r="A26" s="67"/>
      <c r="B26" s="142">
        <v>0.58333333333333304</v>
      </c>
      <c r="C26" s="363">
        <v>18943</v>
      </c>
      <c r="D26" s="363">
        <v>58869.89</v>
      </c>
      <c r="E26" s="363">
        <v>1300.2191916666666</v>
      </c>
      <c r="F26" s="363">
        <v>45.28</v>
      </c>
      <c r="G26" s="363">
        <v>164.55880000000002</v>
      </c>
      <c r="H26" s="364">
        <v>8.6861111111111115E-3</v>
      </c>
    </row>
    <row r="27" spans="1:8">
      <c r="A27" s="67"/>
      <c r="B27" s="142">
        <v>0.625</v>
      </c>
      <c r="C27" s="363">
        <v>20189</v>
      </c>
      <c r="D27" s="363">
        <v>62978.41</v>
      </c>
      <c r="E27" s="363">
        <v>1422.4616944444444</v>
      </c>
      <c r="F27" s="363">
        <v>44.28</v>
      </c>
      <c r="G27" s="363">
        <v>208.57874166666667</v>
      </c>
      <c r="H27" s="364">
        <v>1.0330555555555555E-2</v>
      </c>
    </row>
    <row r="28" spans="1:8">
      <c r="A28" s="67"/>
      <c r="B28" s="142">
        <v>0.66666666666666696</v>
      </c>
      <c r="C28" s="363">
        <v>20864</v>
      </c>
      <c r="D28" s="363">
        <v>65272.45</v>
      </c>
      <c r="E28" s="363">
        <v>1488.1783750000002</v>
      </c>
      <c r="F28" s="363">
        <v>43.86</v>
      </c>
      <c r="G28" s="363">
        <v>231.33491944444444</v>
      </c>
      <c r="H28" s="364">
        <v>1.1086111111111111E-2</v>
      </c>
    </row>
    <row r="29" spans="1:8">
      <c r="A29" s="67"/>
      <c r="B29" s="142">
        <v>0.70833333333333304</v>
      </c>
      <c r="C29" s="363">
        <v>18352</v>
      </c>
      <c r="D29" s="363">
        <v>57237.17</v>
      </c>
      <c r="E29" s="363">
        <v>1244.9465194444444</v>
      </c>
      <c r="F29" s="363">
        <v>45.98</v>
      </c>
      <c r="G29" s="363">
        <v>143.72102222222222</v>
      </c>
      <c r="H29" s="364">
        <v>7.8305555555555559E-3</v>
      </c>
    </row>
    <row r="30" spans="1:8">
      <c r="A30" s="67"/>
      <c r="B30" s="142">
        <v>0.75</v>
      </c>
      <c r="C30" s="363">
        <v>12671</v>
      </c>
      <c r="D30" s="363">
        <v>39141.97</v>
      </c>
      <c r="E30" s="363">
        <v>820.4590305555555</v>
      </c>
      <c r="F30" s="363">
        <v>47.71</v>
      </c>
      <c r="G30" s="363">
        <v>68.489152777777775</v>
      </c>
      <c r="H30" s="364">
        <v>5.4055555555555558E-3</v>
      </c>
    </row>
    <row r="31" spans="1:8">
      <c r="A31" s="67"/>
      <c r="B31" s="142">
        <v>0.79166666666666663</v>
      </c>
      <c r="C31" s="363">
        <v>9115</v>
      </c>
      <c r="D31" s="363">
        <v>28249.73</v>
      </c>
      <c r="E31" s="363">
        <v>583.70704722222229</v>
      </c>
      <c r="F31" s="363">
        <v>48.4</v>
      </c>
      <c r="G31" s="363">
        <v>41.364075000000007</v>
      </c>
      <c r="H31" s="364">
        <v>4.5361111111111106E-3</v>
      </c>
    </row>
    <row r="32" spans="1:8">
      <c r="A32" s="67"/>
      <c r="B32" s="130" t="s">
        <v>28</v>
      </c>
      <c r="C32" s="147">
        <f>SUBTOTAL(109,Table3B.1_22TTS[Total Vehicles in Network])</f>
        <v>214310</v>
      </c>
      <c r="D32" s="147">
        <f>SUBTOTAL(109,Table3B.1_22TTS[VMT: Total Path Distance (mi)])</f>
        <v>683005.63</v>
      </c>
      <c r="E32" s="147">
        <f>SUBTOTAL(109,Table3B.1_22TTS[VHT: Total Time in Network (hr)])</f>
        <v>14588.607919444443</v>
      </c>
      <c r="F32" s="147">
        <f>SUBTOTAL(101,Table3B.1_22TTS[Average Speed (mph)])</f>
        <v>47.280666666666669</v>
      </c>
      <c r="G32" s="147">
        <f>SUBTOTAL(109,Table3B.1_22TTS[Total Delay (hr)])</f>
        <v>1479.9895972222221</v>
      </c>
      <c r="H32" s="147">
        <f>SUBTOTAL(101,Table3B.1_22TTS[Average Delay (hr/veh)])</f>
        <v>6.3288888888888882E-3</v>
      </c>
    </row>
    <row r="33" spans="1:9">
      <c r="A33" s="67"/>
      <c r="B33" s="130"/>
      <c r="C33" s="147"/>
      <c r="D33" s="147"/>
      <c r="E33" s="147"/>
      <c r="F33" s="147"/>
      <c r="G33" s="147"/>
      <c r="H33" s="147"/>
    </row>
    <row r="34" spans="1:9">
      <c r="A34" s="67"/>
      <c r="B34" s="121" t="s">
        <v>190</v>
      </c>
      <c r="C34" s="89"/>
      <c r="D34" s="89"/>
      <c r="E34" s="89"/>
      <c r="F34" s="89"/>
      <c r="G34" s="89"/>
      <c r="H34" s="89"/>
    </row>
    <row r="35" spans="1:9">
      <c r="A35" s="67"/>
      <c r="B35" s="459"/>
      <c r="C35" s="459"/>
      <c r="D35" s="459"/>
      <c r="E35" s="459"/>
      <c r="F35" s="459"/>
      <c r="G35" s="459"/>
      <c r="H35" s="459"/>
    </row>
    <row r="36" spans="1:9" s="77" customFormat="1" ht="25.5">
      <c r="A36" s="84"/>
      <c r="B36" s="122" t="s">
        <v>183</v>
      </c>
      <c r="C36" s="122" t="s">
        <v>191</v>
      </c>
      <c r="D36" s="84" t="s">
        <v>192</v>
      </c>
      <c r="E36" s="122" t="s">
        <v>193</v>
      </c>
      <c r="F36" s="122" t="s">
        <v>194</v>
      </c>
      <c r="G36" s="122" t="s">
        <v>195</v>
      </c>
      <c r="H36" s="122" t="s">
        <v>196</v>
      </c>
    </row>
    <row r="37" spans="1:9">
      <c r="A37" s="67"/>
      <c r="B37" s="142">
        <v>0.20833333333333334</v>
      </c>
      <c r="C37" s="156">
        <v>0.94</v>
      </c>
      <c r="D37" s="156">
        <v>0.06</v>
      </c>
      <c r="E37" s="266">
        <f>C17*Table3B.2_22Delay[[#This Row],[Car Traffic Share]]</f>
        <v>5883.46</v>
      </c>
      <c r="F37" s="155">
        <f>H17*Table3B.2_22Delay[[#This Row],[Car Traffic]]</f>
        <v>23.680926499999998</v>
      </c>
      <c r="G37" s="154">
        <f>C17*Table3B.2_22Delay[[#This Row],[Truck Traffic Share]]</f>
        <v>375.53999999999996</v>
      </c>
      <c r="H37" s="155">
        <f>H17*Table3B.2_22Delay[[#This Row],[Truck Traffic]]</f>
        <v>1.5115484999999997</v>
      </c>
      <c r="I37" s="76"/>
    </row>
    <row r="38" spans="1:9">
      <c r="A38" s="67"/>
      <c r="B38" s="142">
        <v>0.25</v>
      </c>
      <c r="C38" s="156">
        <v>0.94</v>
      </c>
      <c r="D38" s="156">
        <v>0.06</v>
      </c>
      <c r="E38" s="266">
        <f>C18*Table3B.2_22Delay[[#This Row],[Car Traffic Share]]</f>
        <v>9819.24</v>
      </c>
      <c r="F38" s="155">
        <f>H18*Table3B.2_22Delay[[#This Row],[Car Traffic]]</f>
        <v>43.286483000000004</v>
      </c>
      <c r="G38" s="154">
        <f>C18*Table3B.2_22Delay[[#This Row],[Truck Traffic Share]]</f>
        <v>626.76</v>
      </c>
      <c r="H38" s="155">
        <f>H18*Table3B.2_22Delay[[#This Row],[Truck Traffic]]</f>
        <v>2.7629670000000002</v>
      </c>
    </row>
    <row r="39" spans="1:9">
      <c r="A39" s="67"/>
      <c r="B39" s="142">
        <v>0.29166666666666702</v>
      </c>
      <c r="C39" s="156">
        <v>0.94</v>
      </c>
      <c r="D39" s="156">
        <v>0.06</v>
      </c>
      <c r="E39" s="266">
        <f>C19*Table3B.2_22Delay[[#This Row],[Car Traffic Share]]</f>
        <v>16517.68</v>
      </c>
      <c r="F39" s="155">
        <f>H19*Table3B.2_22Delay[[#This Row],[Car Traffic]]</f>
        <v>119.47788533333333</v>
      </c>
      <c r="G39" s="154">
        <f>C19*Table3B.2_22Delay[[#This Row],[Truck Traffic Share]]</f>
        <v>1054.32</v>
      </c>
      <c r="H39" s="155">
        <f>H19*Table3B.2_22Delay[[#This Row],[Truck Traffic]]</f>
        <v>7.6262479999999995</v>
      </c>
    </row>
    <row r="40" spans="1:9">
      <c r="A40" s="67"/>
      <c r="B40" s="142">
        <v>0.33333333333333298</v>
      </c>
      <c r="C40" s="156">
        <v>0.94</v>
      </c>
      <c r="D40" s="156">
        <v>0.06</v>
      </c>
      <c r="E40" s="266">
        <f>C20*Table3B.2_22Delay[[#This Row],[Car Traffic Share]]</f>
        <v>15062.56</v>
      </c>
      <c r="F40" s="155">
        <f>H20*Table3B.2_22Delay[[#This Row],[Car Traffic]]</f>
        <v>90.040636444444445</v>
      </c>
      <c r="G40" s="154">
        <f>C20*Table3B.2_22Delay[[#This Row],[Truck Traffic Share]]</f>
        <v>961.43999999999994</v>
      </c>
      <c r="H40" s="155">
        <f>H20*Table3B.2_22Delay[[#This Row],[Truck Traffic]]</f>
        <v>5.7472746666666668</v>
      </c>
    </row>
    <row r="41" spans="1:9">
      <c r="A41" s="67"/>
      <c r="B41" s="142">
        <v>0.375</v>
      </c>
      <c r="C41" s="156">
        <v>0.94</v>
      </c>
      <c r="D41" s="156">
        <v>0.06</v>
      </c>
      <c r="E41" s="266">
        <f>C21*Table3B.2_22Delay[[#This Row],[Car Traffic Share]]</f>
        <v>12115.66</v>
      </c>
      <c r="F41" s="155">
        <f>H21*Table3B.2_22Delay[[#This Row],[Car Traffic]]</f>
        <v>57.381111944444442</v>
      </c>
      <c r="G41" s="154">
        <f>C21*Table3B.2_22Delay[[#This Row],[Truck Traffic Share]]</f>
        <v>773.33999999999992</v>
      </c>
      <c r="H41" s="155">
        <f>H21*Table3B.2_22Delay[[#This Row],[Truck Traffic]]</f>
        <v>3.6626241666666663</v>
      </c>
    </row>
    <row r="42" spans="1:9">
      <c r="A42" s="67"/>
      <c r="B42" s="142">
        <v>0.41666666666666702</v>
      </c>
      <c r="C42" s="156">
        <v>0.94</v>
      </c>
      <c r="D42" s="156">
        <v>0.06</v>
      </c>
      <c r="E42" s="266">
        <f>C22*Table3B.2_22Delay[[#This Row],[Car Traffic Share]]</f>
        <v>11026.199999999999</v>
      </c>
      <c r="F42" s="155">
        <f>H22*Table3B.2_22Delay[[#This Row],[Car Traffic]]</f>
        <v>48.882819999999995</v>
      </c>
      <c r="G42" s="154">
        <f>C22*Table3B.2_22Delay[[#This Row],[Truck Traffic Share]]</f>
        <v>703.8</v>
      </c>
      <c r="H42" s="155">
        <f>H22*Table3B.2_22Delay[[#This Row],[Truck Traffic]]</f>
        <v>3.12018</v>
      </c>
    </row>
    <row r="43" spans="1:9">
      <c r="A43" s="67"/>
      <c r="B43" s="142">
        <v>0.45833333333333298</v>
      </c>
      <c r="C43" s="156">
        <v>0.94</v>
      </c>
      <c r="D43" s="156">
        <v>0.06</v>
      </c>
      <c r="E43" s="266">
        <f>C23*Table3B.2_22Delay[[#This Row],[Car Traffic Share]]</f>
        <v>11018.679999999998</v>
      </c>
      <c r="F43" s="155">
        <f>H23*Table3B.2_22Delay[[#This Row],[Car Traffic]]</f>
        <v>48.971911111111105</v>
      </c>
      <c r="G43" s="154">
        <f>C23*Table3B.2_22Delay[[#This Row],[Truck Traffic Share]]</f>
        <v>703.31999999999994</v>
      </c>
      <c r="H43" s="155">
        <f>H23*Table3B.2_22Delay[[#This Row],[Truck Traffic]]</f>
        <v>3.1258666666666666</v>
      </c>
    </row>
    <row r="44" spans="1:9">
      <c r="A44" s="67"/>
      <c r="B44" s="142">
        <v>0.5</v>
      </c>
      <c r="C44" s="156">
        <v>0.94</v>
      </c>
      <c r="D44" s="156">
        <v>0.06</v>
      </c>
      <c r="E44" s="266">
        <f>C24*Table3B.2_22Delay[[#This Row],[Car Traffic Share]]</f>
        <v>12775.539999999999</v>
      </c>
      <c r="F44" s="155">
        <f>H24*Table3B.2_22Delay[[#This Row],[Car Traffic]]</f>
        <v>68.278163777777763</v>
      </c>
      <c r="G44" s="154">
        <f>C24*Table3B.2_22Delay[[#This Row],[Truck Traffic Share]]</f>
        <v>815.45999999999992</v>
      </c>
      <c r="H44" s="155">
        <f>H24*Table3B.2_22Delay[[#This Row],[Truck Traffic]]</f>
        <v>4.3581806666666658</v>
      </c>
    </row>
    <row r="45" spans="1:9">
      <c r="A45" s="67"/>
      <c r="B45" s="142">
        <v>0.54166666666666696</v>
      </c>
      <c r="C45" s="156">
        <v>0.94</v>
      </c>
      <c r="D45" s="156">
        <v>0.06</v>
      </c>
      <c r="E45" s="266">
        <f>C25*Table3B.2_22Delay[[#This Row],[Car Traffic Share]]</f>
        <v>13106.42</v>
      </c>
      <c r="F45" s="155">
        <f>H25*Table3B.2_22Delay[[#This Row],[Car Traffic]]</f>
        <v>84.609222444444441</v>
      </c>
      <c r="G45" s="154">
        <f>C25*Table3B.2_22Delay[[#This Row],[Truck Traffic Share]]</f>
        <v>836.57999999999993</v>
      </c>
      <c r="H45" s="155">
        <f>H25*Table3B.2_22Delay[[#This Row],[Truck Traffic]]</f>
        <v>5.4005886666666658</v>
      </c>
    </row>
    <row r="46" spans="1:9">
      <c r="A46" s="67"/>
      <c r="B46" s="142">
        <v>0.58333333333333304</v>
      </c>
      <c r="C46" s="156">
        <v>0.94</v>
      </c>
      <c r="D46" s="156">
        <v>0.06</v>
      </c>
      <c r="E46" s="266">
        <f>C26*Table3B.2_22Delay[[#This Row],[Car Traffic Share]]</f>
        <v>17806.419999999998</v>
      </c>
      <c r="F46" s="155">
        <f>H26*Table3B.2_22Delay[[#This Row],[Car Traffic]]</f>
        <v>154.66854261111109</v>
      </c>
      <c r="G46" s="154">
        <f>C26*Table3B.2_22Delay[[#This Row],[Truck Traffic Share]]</f>
        <v>1136.58</v>
      </c>
      <c r="H46" s="155">
        <f>H26*Table3B.2_22Delay[[#This Row],[Truck Traffic]]</f>
        <v>9.8724601666666665</v>
      </c>
    </row>
    <row r="47" spans="1:9">
      <c r="A47" s="67"/>
      <c r="B47" s="142">
        <v>0.625</v>
      </c>
      <c r="C47" s="156">
        <v>0.94</v>
      </c>
      <c r="D47" s="156">
        <v>0.06</v>
      </c>
      <c r="E47" s="266">
        <f>C27*Table3B.2_22Delay[[#This Row],[Car Traffic Share]]</f>
        <v>18977.66</v>
      </c>
      <c r="F47" s="155">
        <f>H27*Table3B.2_22Delay[[#This Row],[Car Traffic]]</f>
        <v>196.04977094444442</v>
      </c>
      <c r="G47" s="154">
        <f>C27*Table3B.2_22Delay[[#This Row],[Truck Traffic Share]]</f>
        <v>1211.3399999999999</v>
      </c>
      <c r="H47" s="155">
        <f>H27*Table3B.2_22Delay[[#This Row],[Truck Traffic]]</f>
        <v>12.513815166666665</v>
      </c>
    </row>
    <row r="48" spans="1:9">
      <c r="A48" s="67"/>
      <c r="B48" s="142">
        <v>0.66666666666666696</v>
      </c>
      <c r="C48" s="156">
        <v>0.94</v>
      </c>
      <c r="D48" s="156">
        <v>0.06</v>
      </c>
      <c r="E48" s="266">
        <f>C28*Table3B.2_22Delay[[#This Row],[Car Traffic Share]]</f>
        <v>19612.16</v>
      </c>
      <c r="F48" s="155">
        <f>H28*Table3B.2_22Delay[[#This Row],[Car Traffic]]</f>
        <v>217.42258488888888</v>
      </c>
      <c r="G48" s="154">
        <f>C28*Table3B.2_22Delay[[#This Row],[Truck Traffic Share]]</f>
        <v>1251.8399999999999</v>
      </c>
      <c r="H48" s="155">
        <f>H28*Table3B.2_22Delay[[#This Row],[Truck Traffic]]</f>
        <v>13.878037333333332</v>
      </c>
    </row>
    <row r="49" spans="1:9">
      <c r="A49" s="67"/>
      <c r="B49" s="142">
        <v>0.70833333333333304</v>
      </c>
      <c r="C49" s="156">
        <v>0.94</v>
      </c>
      <c r="D49" s="156">
        <v>0.06</v>
      </c>
      <c r="E49" s="266">
        <f>C29*Table3B.2_22Delay[[#This Row],[Car Traffic Share]]</f>
        <v>17250.879999999997</v>
      </c>
      <c r="F49" s="155">
        <f>H29*Table3B.2_22Delay[[#This Row],[Car Traffic]]</f>
        <v>135.0839742222222</v>
      </c>
      <c r="G49" s="154">
        <f>C29*Table3B.2_22Delay[[#This Row],[Truck Traffic Share]]</f>
        <v>1101.1199999999999</v>
      </c>
      <c r="H49" s="155">
        <f>H29*Table3B.2_22Delay[[#This Row],[Truck Traffic]]</f>
        <v>8.6223813333333332</v>
      </c>
    </row>
    <row r="50" spans="1:9">
      <c r="A50" s="67"/>
      <c r="B50" s="142">
        <v>0.75</v>
      </c>
      <c r="C50" s="156">
        <v>0.94</v>
      </c>
      <c r="D50" s="156">
        <v>0.06</v>
      </c>
      <c r="E50" s="266">
        <f>C30*Table3B.2_22Delay[[#This Row],[Car Traffic Share]]</f>
        <v>11910.74</v>
      </c>
      <c r="F50" s="155">
        <f>H30*Table3B.2_22Delay[[#This Row],[Car Traffic]]</f>
        <v>64.384166777777779</v>
      </c>
      <c r="G50" s="154">
        <f>C30*Table3B.2_22Delay[[#This Row],[Truck Traffic Share]]</f>
        <v>760.26</v>
      </c>
      <c r="H50" s="155">
        <f>H30*Table3B.2_22Delay[[#This Row],[Truck Traffic]]</f>
        <v>4.1096276666666665</v>
      </c>
    </row>
    <row r="51" spans="1:9" ht="13.5" thickBot="1">
      <c r="A51" s="67"/>
      <c r="B51" s="142">
        <v>0.79166666666666663</v>
      </c>
      <c r="C51" s="158">
        <v>0.94</v>
      </c>
      <c r="D51" s="158">
        <v>0.06</v>
      </c>
      <c r="E51" s="267">
        <f>C31*Table3B.2_22Delay[[#This Row],[Car Traffic Share]]</f>
        <v>8568.1</v>
      </c>
      <c r="F51" s="160">
        <f>H31*Table3B.2_22Delay[[#This Row],[Car Traffic]]</f>
        <v>38.865853611111106</v>
      </c>
      <c r="G51" s="159">
        <f>C31*Table3B.2_22Delay[[#This Row],[Truck Traffic Share]]</f>
        <v>546.9</v>
      </c>
      <c r="H51" s="160">
        <f>H31*Table3B.2_22Delay[[#This Row],[Truck Traffic]]</f>
        <v>2.4807991666666664</v>
      </c>
    </row>
    <row r="52" spans="1:9" ht="13.5" thickTop="1">
      <c r="A52" s="67"/>
      <c r="B52" s="90" t="s">
        <v>28</v>
      </c>
      <c r="C52" s="81"/>
      <c r="D52" s="81"/>
      <c r="E52" s="153">
        <f>SUBTOTAL(109,Table3B.2_22Delay[Car Traffic])</f>
        <v>201451.4</v>
      </c>
      <c r="F52" s="153">
        <f>SUBTOTAL(109,Table3B.2_22Delay[Car Delay 
(hrs)])</f>
        <v>1391.0840536111111</v>
      </c>
      <c r="G52" s="153">
        <f>SUBTOTAL(109,Table3B.2_22Delay[Truck Traffic])</f>
        <v>12858.599999999999</v>
      </c>
      <c r="H52" s="153">
        <f>SUBTOTAL(109,Table3B.2_22Delay[Truck Delay (hrs)])</f>
        <v>88.792599166666676</v>
      </c>
    </row>
    <row r="53" spans="1:9">
      <c r="A53" s="67"/>
      <c r="C53" s="69"/>
      <c r="D53" s="130"/>
      <c r="E53" s="141"/>
      <c r="F53" s="151"/>
      <c r="G53" s="141"/>
      <c r="H53" s="151"/>
    </row>
    <row r="54" spans="1:9">
      <c r="A54" s="67"/>
      <c r="B54" s="63" t="s">
        <v>197</v>
      </c>
      <c r="I54" s="92"/>
    </row>
    <row r="55" spans="1:9">
      <c r="A55" s="67"/>
      <c r="B55" s="459"/>
      <c r="C55" s="459"/>
      <c r="D55" s="459"/>
      <c r="E55" s="459"/>
      <c r="F55" s="459"/>
      <c r="G55" s="459"/>
      <c r="H55" s="459"/>
    </row>
    <row r="56" spans="1:9" ht="25.5">
      <c r="A56" s="67"/>
      <c r="B56" s="122" t="s">
        <v>183</v>
      </c>
      <c r="C56" s="122" t="s">
        <v>184</v>
      </c>
      <c r="D56" s="122" t="s">
        <v>185</v>
      </c>
      <c r="E56" s="122" t="s">
        <v>186</v>
      </c>
      <c r="F56" s="122" t="s">
        <v>187</v>
      </c>
      <c r="G56" s="122" t="s">
        <v>188</v>
      </c>
      <c r="H56" s="122" t="s">
        <v>189</v>
      </c>
    </row>
    <row r="57" spans="1:9">
      <c r="A57" s="67"/>
      <c r="B57" s="142">
        <v>0.20833333333333334</v>
      </c>
      <c r="C57" s="363">
        <v>14031</v>
      </c>
      <c r="D57" s="363">
        <v>44059.54</v>
      </c>
      <c r="E57" s="363">
        <v>921.34697222222223</v>
      </c>
      <c r="F57" s="363">
        <v>47.82</v>
      </c>
      <c r="G57" s="363">
        <v>74.718905555555551</v>
      </c>
      <c r="H57" s="364">
        <v>5.3250000000000007E-3</v>
      </c>
    </row>
    <row r="58" spans="1:9">
      <c r="A58" s="67"/>
      <c r="B58" s="142">
        <v>0.25</v>
      </c>
      <c r="C58" s="363">
        <v>6463</v>
      </c>
      <c r="D58" s="363">
        <v>20468.72</v>
      </c>
      <c r="E58" s="363">
        <v>418.77384166666667</v>
      </c>
      <c r="F58" s="363">
        <v>48.88</v>
      </c>
      <c r="G58" s="363">
        <v>25.56858888888889</v>
      </c>
      <c r="H58" s="364">
        <v>3.9555555555555559E-3</v>
      </c>
    </row>
    <row r="59" spans="1:9">
      <c r="A59" s="67"/>
      <c r="B59" s="142">
        <v>0.29166666666666702</v>
      </c>
      <c r="C59" s="363">
        <v>10868</v>
      </c>
      <c r="D59" s="363">
        <v>35528.870000000003</v>
      </c>
      <c r="E59" s="363">
        <v>724.96141111111115</v>
      </c>
      <c r="F59" s="363">
        <v>49.01</v>
      </c>
      <c r="G59" s="363">
        <v>46.674269444444441</v>
      </c>
      <c r="H59" s="364">
        <v>4.2944444444444445E-3</v>
      </c>
    </row>
    <row r="60" spans="1:9">
      <c r="A60" s="67"/>
      <c r="B60" s="142">
        <v>0.33333333333333298</v>
      </c>
      <c r="C60" s="363">
        <v>18206</v>
      </c>
      <c r="D60" s="363">
        <v>59806.57</v>
      </c>
      <c r="E60" s="363">
        <v>1286.7379222222221</v>
      </c>
      <c r="F60" s="363">
        <v>46.49</v>
      </c>
      <c r="G60" s="363">
        <v>144.02718611111112</v>
      </c>
      <c r="H60" s="364">
        <v>7.9027777777777777E-3</v>
      </c>
    </row>
    <row r="61" spans="1:9">
      <c r="A61" s="67"/>
      <c r="B61" s="142">
        <v>0.375</v>
      </c>
      <c r="C61" s="363">
        <v>16662</v>
      </c>
      <c r="D61" s="363">
        <v>54326.5</v>
      </c>
      <c r="E61" s="363">
        <v>1166.7441972222223</v>
      </c>
      <c r="F61" s="363">
        <v>46.81</v>
      </c>
      <c r="G61" s="363">
        <v>129.91777777777779</v>
      </c>
      <c r="H61" s="364">
        <v>7.7805555555555562E-3</v>
      </c>
    </row>
    <row r="62" spans="1:9">
      <c r="A62" s="67"/>
      <c r="B62" s="142">
        <v>0.41666666666666702</v>
      </c>
      <c r="C62" s="363">
        <v>13454</v>
      </c>
      <c r="D62" s="363">
        <v>43983.58</v>
      </c>
      <c r="E62" s="363">
        <v>911.14698611111112</v>
      </c>
      <c r="F62" s="363">
        <v>48.32</v>
      </c>
      <c r="G62" s="363">
        <v>72.187219444444437</v>
      </c>
      <c r="H62" s="364">
        <v>5.3416666666666664E-3</v>
      </c>
    </row>
    <row r="63" spans="1:9">
      <c r="A63" s="67"/>
      <c r="B63" s="142">
        <v>0.45833333333333298</v>
      </c>
      <c r="C63" s="363">
        <v>12215</v>
      </c>
      <c r="D63" s="363">
        <v>40097.24</v>
      </c>
      <c r="E63" s="363">
        <v>817.0180444444444</v>
      </c>
      <c r="F63" s="363">
        <v>49.08</v>
      </c>
      <c r="G63" s="363">
        <v>52.658127777777779</v>
      </c>
      <c r="H63" s="364">
        <v>4.311111111111111E-3</v>
      </c>
    </row>
    <row r="64" spans="1:9">
      <c r="A64" s="67"/>
      <c r="B64" s="142">
        <v>0.5</v>
      </c>
      <c r="C64" s="363">
        <v>12231</v>
      </c>
      <c r="D64" s="363">
        <v>40377.29</v>
      </c>
      <c r="E64" s="363">
        <v>822.66365277777777</v>
      </c>
      <c r="F64" s="363">
        <v>49.08</v>
      </c>
      <c r="G64" s="363">
        <v>53.044172222222223</v>
      </c>
      <c r="H64" s="364">
        <v>4.3361111111111109E-3</v>
      </c>
    </row>
    <row r="65" spans="1:8">
      <c r="A65" s="67"/>
      <c r="B65" s="142">
        <v>0.54166666666666696</v>
      </c>
      <c r="C65" s="363">
        <v>14405</v>
      </c>
      <c r="D65" s="363">
        <v>46315.7</v>
      </c>
      <c r="E65" s="363">
        <v>981.88954444444437</v>
      </c>
      <c r="F65" s="363">
        <v>47.17</v>
      </c>
      <c r="G65" s="363">
        <v>91.318858333333338</v>
      </c>
      <c r="H65" s="364">
        <v>6.3388888888888887E-3</v>
      </c>
    </row>
    <row r="66" spans="1:8">
      <c r="A66" s="67"/>
      <c r="B66" s="142">
        <v>0.58333333333333304</v>
      </c>
      <c r="C66" s="363">
        <v>19590</v>
      </c>
      <c r="D66" s="363">
        <v>61015.71</v>
      </c>
      <c r="E66" s="363">
        <v>1341.9567805555555</v>
      </c>
      <c r="F66" s="363">
        <v>45.47</v>
      </c>
      <c r="G66" s="363">
        <v>165.50978888888889</v>
      </c>
      <c r="H66" s="364">
        <v>8.4472222222222223E-3</v>
      </c>
    </row>
    <row r="67" spans="1:8">
      <c r="A67" s="67"/>
      <c r="B67" s="142">
        <v>0.625</v>
      </c>
      <c r="C67" s="363">
        <v>20829</v>
      </c>
      <c r="D67" s="363">
        <v>65144.42</v>
      </c>
      <c r="E67" s="363">
        <v>1466.758661111111</v>
      </c>
      <c r="F67" s="363">
        <v>44.42</v>
      </c>
      <c r="G67" s="363">
        <v>212.17670555555557</v>
      </c>
      <c r="H67" s="364">
        <v>1.0188888888888888E-2</v>
      </c>
    </row>
    <row r="68" spans="1:8">
      <c r="A68" s="67"/>
      <c r="B68" s="142">
        <v>0.66666666666666696</v>
      </c>
      <c r="C68" s="363">
        <v>21428</v>
      </c>
      <c r="D68" s="363">
        <v>67096.639999999999</v>
      </c>
      <c r="E68" s="363">
        <v>1541.23505</v>
      </c>
      <c r="F68" s="363">
        <v>43.55</v>
      </c>
      <c r="G68" s="363">
        <v>250.34096111111111</v>
      </c>
      <c r="H68" s="364">
        <v>1.1686111111111111E-2</v>
      </c>
    </row>
    <row r="69" spans="1:8">
      <c r="A69" s="67"/>
      <c r="B69" s="142">
        <v>0.70833333333333304</v>
      </c>
      <c r="C69" s="363">
        <v>19025</v>
      </c>
      <c r="D69" s="363">
        <v>59335.25</v>
      </c>
      <c r="E69" s="363">
        <v>1299.7814111111111</v>
      </c>
      <c r="F69" s="363">
        <v>45.66</v>
      </c>
      <c r="G69" s="363">
        <v>158.00558055555555</v>
      </c>
      <c r="H69" s="364">
        <v>8.3000000000000001E-3</v>
      </c>
    </row>
    <row r="70" spans="1:8">
      <c r="A70" s="67"/>
      <c r="B70" s="142">
        <v>0.75</v>
      </c>
      <c r="C70" s="363">
        <v>13086</v>
      </c>
      <c r="D70" s="363">
        <v>40511.230000000003</v>
      </c>
      <c r="E70" s="363">
        <v>849.01874999999995</v>
      </c>
      <c r="F70" s="363">
        <v>47.72</v>
      </c>
      <c r="G70" s="363">
        <v>70.905150000000006</v>
      </c>
      <c r="H70" s="364">
        <v>5.4166666666666669E-3</v>
      </c>
    </row>
    <row r="71" spans="1:8">
      <c r="A71" s="67"/>
      <c r="B71" s="142">
        <v>0.79166666666666663</v>
      </c>
      <c r="C71" s="363">
        <v>9399</v>
      </c>
      <c r="D71" s="363">
        <v>29143.37</v>
      </c>
      <c r="E71" s="363">
        <v>601.45275555555554</v>
      </c>
      <c r="F71" s="363">
        <v>48.46</v>
      </c>
      <c r="G71" s="363">
        <v>42.110347222222224</v>
      </c>
      <c r="H71" s="364">
        <v>4.4805555555555553E-3</v>
      </c>
    </row>
    <row r="72" spans="1:8">
      <c r="A72" s="67"/>
      <c r="B72" s="130" t="s">
        <v>28</v>
      </c>
      <c r="C72" s="152">
        <f>SUBTOTAL(109,Table3B.3_27TTS_NB[Total Vehicles in Network])</f>
        <v>221892</v>
      </c>
      <c r="D72" s="152">
        <f>SUBTOTAL(109,Table3B.3_27TTS_NB[VMT: Total Path Distance (mi)])</f>
        <v>707210.63</v>
      </c>
      <c r="E72" s="152">
        <f>SUBTOTAL(109,Table3B.3_27TTS_NB[VHT: Total Time in Network (hr)])</f>
        <v>15151.485980555555</v>
      </c>
      <c r="F72" s="152">
        <f>SUBTOTAL(101,Table3B.3_27TTS_NB[Average Speed (mph)])</f>
        <v>47.195999999999998</v>
      </c>
      <c r="G72" s="152">
        <f>SUBTOTAL(109,Table3B.3_27TTS_NB[Total Delay (hr)])</f>
        <v>1589.1636388888887</v>
      </c>
      <c r="H72" s="152">
        <f>SUBTOTAL(101,Table3B.3_27TTS_NB[Average Delay (hr/veh)])</f>
        <v>6.5403703703703709E-3</v>
      </c>
    </row>
    <row r="73" spans="1:8">
      <c r="A73" s="67"/>
    </row>
    <row r="74" spans="1:8">
      <c r="A74" s="67"/>
      <c r="B74" s="121" t="s">
        <v>198</v>
      </c>
      <c r="C74" s="89"/>
      <c r="D74" s="89"/>
      <c r="E74" s="89"/>
      <c r="F74" s="89"/>
      <c r="G74" s="89"/>
      <c r="H74" s="89"/>
    </row>
    <row r="75" spans="1:8" ht="12.75" customHeight="1">
      <c r="A75" s="67"/>
      <c r="B75" s="459"/>
      <c r="C75" s="459"/>
      <c r="D75" s="459"/>
      <c r="E75" s="459"/>
      <c r="F75" s="459"/>
      <c r="G75" s="459"/>
      <c r="H75" s="459"/>
    </row>
    <row r="76" spans="1:8" ht="25.5">
      <c r="A76" s="67"/>
      <c r="B76" s="122" t="s">
        <v>183</v>
      </c>
      <c r="C76" s="122" t="s">
        <v>191</v>
      </c>
      <c r="D76" s="84" t="s">
        <v>192</v>
      </c>
      <c r="E76" s="122" t="s">
        <v>193</v>
      </c>
      <c r="F76" s="122" t="s">
        <v>194</v>
      </c>
      <c r="G76" s="122" t="s">
        <v>195</v>
      </c>
      <c r="H76" s="122" t="s">
        <v>196</v>
      </c>
    </row>
    <row r="77" spans="1:8">
      <c r="A77" s="67"/>
      <c r="B77" s="142">
        <v>0.20833333333333334</v>
      </c>
      <c r="C77" s="156">
        <v>0.94</v>
      </c>
      <c r="D77" s="156">
        <v>0.06</v>
      </c>
      <c r="E77" s="266">
        <f>C57*Table3B.4_27Delay_NB[[#This Row],[Car Traffic Share]]</f>
        <v>13189.14</v>
      </c>
      <c r="F77" s="155">
        <f>H57*Table3B.4_27Delay_NB[[#This Row],[Car Traffic]]</f>
        <v>70.232170500000009</v>
      </c>
      <c r="G77" s="154">
        <f>C57*Table3B.4_27Delay_NB[[#This Row],[Truck Traffic Share]]</f>
        <v>841.86</v>
      </c>
      <c r="H77" s="155">
        <f>H57*Table3B.4_27Delay_NB[[#This Row],[Truck Traffic]]</f>
        <v>4.482904500000001</v>
      </c>
    </row>
    <row r="78" spans="1:8">
      <c r="A78" s="67"/>
      <c r="B78" s="142">
        <v>0.25</v>
      </c>
      <c r="C78" s="156">
        <v>0.94</v>
      </c>
      <c r="D78" s="156">
        <v>0.06</v>
      </c>
      <c r="E78" s="266">
        <f>C58*Table3B.4_27Delay_NB[[#This Row],[Car Traffic Share]]</f>
        <v>6075.2199999999993</v>
      </c>
      <c r="F78" s="155">
        <f>H58*Table3B.4_27Delay_NB[[#This Row],[Car Traffic]]</f>
        <v>24.030870222222223</v>
      </c>
      <c r="G78" s="154">
        <f>C58*Table3B.4_27Delay_NB[[#This Row],[Truck Traffic Share]]</f>
        <v>387.78</v>
      </c>
      <c r="H78" s="155">
        <f>H58*Table3B.4_27Delay_NB[[#This Row],[Truck Traffic]]</f>
        <v>1.5338853333333333</v>
      </c>
    </row>
    <row r="79" spans="1:8">
      <c r="A79" s="67"/>
      <c r="B79" s="142">
        <v>0.29166666666666702</v>
      </c>
      <c r="C79" s="156">
        <v>0.94</v>
      </c>
      <c r="D79" s="156">
        <v>0.06</v>
      </c>
      <c r="E79" s="266">
        <f>C59*Table3B.4_27Delay_NB[[#This Row],[Car Traffic Share]]</f>
        <v>10215.92</v>
      </c>
      <c r="F79" s="155">
        <f>H59*Table3B.4_27Delay_NB[[#This Row],[Car Traffic]]</f>
        <v>43.871700888888888</v>
      </c>
      <c r="G79" s="154">
        <f>C59*Table3B.4_27Delay_NB[[#This Row],[Truck Traffic Share]]</f>
        <v>652.07999999999993</v>
      </c>
      <c r="H79" s="155">
        <f>H59*Table3B.4_27Delay_NB[[#This Row],[Truck Traffic]]</f>
        <v>2.8003213333333332</v>
      </c>
    </row>
    <row r="80" spans="1:8">
      <c r="A80" s="67"/>
      <c r="B80" s="142">
        <v>0.33333333333333298</v>
      </c>
      <c r="C80" s="156">
        <v>0.94</v>
      </c>
      <c r="D80" s="156">
        <v>0.06</v>
      </c>
      <c r="E80" s="266">
        <f>C60*Table3B.4_27Delay_NB[[#This Row],[Car Traffic Share]]</f>
        <v>17113.64</v>
      </c>
      <c r="F80" s="155">
        <f>H60*Table3B.4_27Delay_NB[[#This Row],[Car Traffic]]</f>
        <v>135.24529388888888</v>
      </c>
      <c r="G80" s="154">
        <f>C60*Table3B.4_27Delay_NB[[#This Row],[Truck Traffic Share]]</f>
        <v>1092.3599999999999</v>
      </c>
      <c r="H80" s="155">
        <f>H60*Table3B.4_27Delay_NB[[#This Row],[Truck Traffic]]</f>
        <v>8.6326783333333328</v>
      </c>
    </row>
    <row r="81" spans="1:8">
      <c r="A81" s="67"/>
      <c r="B81" s="142">
        <v>0.375</v>
      </c>
      <c r="C81" s="156">
        <v>0.94</v>
      </c>
      <c r="D81" s="156">
        <v>0.06</v>
      </c>
      <c r="E81" s="266">
        <f>C61*Table3B.4_27Delay_NB[[#This Row],[Car Traffic Share]]</f>
        <v>15662.279999999999</v>
      </c>
      <c r="F81" s="155">
        <f>H61*Table3B.4_27Delay_NB[[#This Row],[Car Traffic]]</f>
        <v>121.86123966666666</v>
      </c>
      <c r="G81" s="154">
        <f>C61*Table3B.4_27Delay_NB[[#This Row],[Truck Traffic Share]]</f>
        <v>999.71999999999991</v>
      </c>
      <c r="H81" s="155">
        <f>H61*Table3B.4_27Delay_NB[[#This Row],[Truck Traffic]]</f>
        <v>7.7783769999999999</v>
      </c>
    </row>
    <row r="82" spans="1:8">
      <c r="A82" s="67"/>
      <c r="B82" s="142">
        <v>0.41666666666666702</v>
      </c>
      <c r="C82" s="156">
        <v>0.94</v>
      </c>
      <c r="D82" s="156">
        <v>0.06</v>
      </c>
      <c r="E82" s="266">
        <f>C62*Table3B.4_27Delay_NB[[#This Row],[Car Traffic Share]]</f>
        <v>12646.759999999998</v>
      </c>
      <c r="F82" s="155">
        <f>H62*Table3B.4_27Delay_NB[[#This Row],[Car Traffic]]</f>
        <v>67.554776333333322</v>
      </c>
      <c r="G82" s="154">
        <f>C62*Table3B.4_27Delay_NB[[#This Row],[Truck Traffic Share]]</f>
        <v>807.24</v>
      </c>
      <c r="H82" s="155">
        <f>H62*Table3B.4_27Delay_NB[[#This Row],[Truck Traffic]]</f>
        <v>4.3120069999999995</v>
      </c>
    </row>
    <row r="83" spans="1:8">
      <c r="A83" s="67"/>
      <c r="B83" s="142">
        <v>0.45833333333333298</v>
      </c>
      <c r="C83" s="156">
        <v>0.94</v>
      </c>
      <c r="D83" s="156">
        <v>0.06</v>
      </c>
      <c r="E83" s="266">
        <f>C63*Table3B.4_27Delay_NB[[#This Row],[Car Traffic Share]]</f>
        <v>11482.099999999999</v>
      </c>
      <c r="F83" s="155">
        <f>H63*Table3B.4_27Delay_NB[[#This Row],[Car Traffic]]</f>
        <v>49.500608888888884</v>
      </c>
      <c r="G83" s="154">
        <f>C63*Table3B.4_27Delay_NB[[#This Row],[Truck Traffic Share]]</f>
        <v>732.9</v>
      </c>
      <c r="H83" s="155">
        <f>H63*Table3B.4_27Delay_NB[[#This Row],[Truck Traffic]]</f>
        <v>3.1596133333333332</v>
      </c>
    </row>
    <row r="84" spans="1:8">
      <c r="A84" s="67"/>
      <c r="B84" s="142">
        <v>0.5</v>
      </c>
      <c r="C84" s="156">
        <v>0.94</v>
      </c>
      <c r="D84" s="156">
        <v>0.06</v>
      </c>
      <c r="E84" s="266">
        <f>C64*Table3B.4_27Delay_NB[[#This Row],[Car Traffic Share]]</f>
        <v>11497.14</v>
      </c>
      <c r="F84" s="155">
        <f>H64*Table3B.4_27Delay_NB[[#This Row],[Car Traffic]]</f>
        <v>49.852876499999994</v>
      </c>
      <c r="G84" s="154">
        <f>C64*Table3B.4_27Delay_NB[[#This Row],[Truck Traffic Share]]</f>
        <v>733.86</v>
      </c>
      <c r="H84" s="155">
        <f>H64*Table3B.4_27Delay_NB[[#This Row],[Truck Traffic]]</f>
        <v>3.1820984999999999</v>
      </c>
    </row>
    <row r="85" spans="1:8">
      <c r="A85" s="67"/>
      <c r="B85" s="142">
        <v>0.54166666666666696</v>
      </c>
      <c r="C85" s="156">
        <v>0.94</v>
      </c>
      <c r="D85" s="156">
        <v>0.06</v>
      </c>
      <c r="E85" s="266">
        <f>C65*Table3B.4_27Delay_NB[[#This Row],[Car Traffic Share]]</f>
        <v>13540.699999999999</v>
      </c>
      <c r="F85" s="155">
        <f>H65*Table3B.4_27Delay_NB[[#This Row],[Car Traffic]]</f>
        <v>85.832992777777761</v>
      </c>
      <c r="G85" s="154">
        <f>C65*Table3B.4_27Delay_NB[[#This Row],[Truck Traffic Share]]</f>
        <v>864.3</v>
      </c>
      <c r="H85" s="155">
        <f>H65*Table3B.4_27Delay_NB[[#This Row],[Truck Traffic]]</f>
        <v>5.4787016666666659</v>
      </c>
    </row>
    <row r="86" spans="1:8">
      <c r="A86" s="67"/>
      <c r="B86" s="142">
        <v>0.58333333333333304</v>
      </c>
      <c r="C86" s="156">
        <v>0.94</v>
      </c>
      <c r="D86" s="156">
        <v>0.06</v>
      </c>
      <c r="E86" s="266">
        <f>C66*Table3B.4_27Delay_NB[[#This Row],[Car Traffic Share]]</f>
        <v>18414.599999999999</v>
      </c>
      <c r="F86" s="155">
        <f>H66*Table3B.4_27Delay_NB[[#This Row],[Car Traffic]]</f>
        <v>155.55221833333331</v>
      </c>
      <c r="G86" s="154">
        <f>C66*Table3B.4_27Delay_NB[[#This Row],[Truck Traffic Share]]</f>
        <v>1175.3999999999999</v>
      </c>
      <c r="H86" s="155">
        <f>H66*Table3B.4_27Delay_NB[[#This Row],[Truck Traffic]]</f>
        <v>9.9288649999999983</v>
      </c>
    </row>
    <row r="87" spans="1:8">
      <c r="A87" s="67"/>
      <c r="B87" s="142">
        <v>0.625</v>
      </c>
      <c r="C87" s="156">
        <v>0.94</v>
      </c>
      <c r="D87" s="156">
        <v>0.06</v>
      </c>
      <c r="E87" s="266">
        <f>C67*Table3B.4_27Delay_NB[[#This Row],[Car Traffic Share]]</f>
        <v>19579.259999999998</v>
      </c>
      <c r="F87" s="155">
        <f>H67*Table3B.4_27Delay_NB[[#This Row],[Car Traffic]]</f>
        <v>199.49090466666664</v>
      </c>
      <c r="G87" s="154">
        <f>C67*Table3B.4_27Delay_NB[[#This Row],[Truck Traffic Share]]</f>
        <v>1249.74</v>
      </c>
      <c r="H87" s="155">
        <f>H67*Table3B.4_27Delay_NB[[#This Row],[Truck Traffic]]</f>
        <v>12.733461999999999</v>
      </c>
    </row>
    <row r="88" spans="1:8">
      <c r="A88" s="67"/>
      <c r="B88" s="142">
        <v>0.66666666666666696</v>
      </c>
      <c r="C88" s="156">
        <v>0.94</v>
      </c>
      <c r="D88" s="156">
        <v>0.06</v>
      </c>
      <c r="E88" s="266">
        <f>C68*Table3B.4_27Delay_NB[[#This Row],[Car Traffic Share]]</f>
        <v>20142.32</v>
      </c>
      <c r="F88" s="155">
        <f>H68*Table3B.4_27Delay_NB[[#This Row],[Car Traffic]]</f>
        <v>235.38538955555555</v>
      </c>
      <c r="G88" s="154">
        <f>C68*Table3B.4_27Delay_NB[[#This Row],[Truck Traffic Share]]</f>
        <v>1285.68</v>
      </c>
      <c r="H88" s="155">
        <f>H68*Table3B.4_27Delay_NB[[#This Row],[Truck Traffic]]</f>
        <v>15.024599333333333</v>
      </c>
    </row>
    <row r="89" spans="1:8">
      <c r="A89" s="67"/>
      <c r="B89" s="142">
        <v>0.70833333333333304</v>
      </c>
      <c r="C89" s="156">
        <v>0.94</v>
      </c>
      <c r="D89" s="156">
        <v>0.06</v>
      </c>
      <c r="E89" s="266">
        <f>C69*Table3B.4_27Delay_NB[[#This Row],[Car Traffic Share]]</f>
        <v>17883.5</v>
      </c>
      <c r="F89" s="155">
        <f>H69*Table3B.4_27Delay_NB[[#This Row],[Car Traffic]]</f>
        <v>148.43305000000001</v>
      </c>
      <c r="G89" s="154">
        <f>C69*Table3B.4_27Delay_NB[[#This Row],[Truck Traffic Share]]</f>
        <v>1141.5</v>
      </c>
      <c r="H89" s="155">
        <f>H69*Table3B.4_27Delay_NB[[#This Row],[Truck Traffic]]</f>
        <v>9.4744500000000009</v>
      </c>
    </row>
    <row r="90" spans="1:8">
      <c r="A90" s="67"/>
      <c r="B90" s="142">
        <v>0.75</v>
      </c>
      <c r="C90" s="156">
        <v>0.94</v>
      </c>
      <c r="D90" s="156">
        <v>0.06</v>
      </c>
      <c r="E90" s="266">
        <f>C70*Table3B.4_27Delay_NB[[#This Row],[Car Traffic Share]]</f>
        <v>12300.84</v>
      </c>
      <c r="F90" s="155">
        <f>H70*Table3B.4_27Delay_NB[[#This Row],[Car Traffic]]</f>
        <v>66.629550000000009</v>
      </c>
      <c r="G90" s="154">
        <f>C70*Table3B.4_27Delay_NB[[#This Row],[Truck Traffic Share]]</f>
        <v>785.16</v>
      </c>
      <c r="H90" s="155">
        <f>H70*Table3B.4_27Delay_NB[[#This Row],[Truck Traffic]]</f>
        <v>4.2529500000000002</v>
      </c>
    </row>
    <row r="91" spans="1:8" ht="13.5" thickBot="1">
      <c r="A91" s="67"/>
      <c r="B91" s="142">
        <v>0.79166666666666663</v>
      </c>
      <c r="C91" s="158">
        <v>0.94</v>
      </c>
      <c r="D91" s="158">
        <v>0.06</v>
      </c>
      <c r="E91" s="267">
        <f>C71*Table3B.4_27Delay_NB[[#This Row],[Car Traffic Share]]</f>
        <v>8835.06</v>
      </c>
      <c r="F91" s="160">
        <f>H71*Table3B.4_27Delay_NB[[#This Row],[Car Traffic]]</f>
        <v>39.585977166666659</v>
      </c>
      <c r="G91" s="159">
        <f>C71*Table3B.4_27Delay_NB[[#This Row],[Truck Traffic Share]]</f>
        <v>563.93999999999994</v>
      </c>
      <c r="H91" s="160">
        <f>H71*Table3B.4_27Delay_NB[[#This Row],[Truck Traffic]]</f>
        <v>2.5267644999999996</v>
      </c>
    </row>
    <row r="92" spans="1:8" ht="13.5" thickTop="1">
      <c r="A92" s="67"/>
      <c r="B92" s="90" t="s">
        <v>28</v>
      </c>
      <c r="C92" s="81"/>
      <c r="D92" s="81"/>
      <c r="E92" s="153">
        <f>SUBTOTAL(109,Table3B.4_27Delay_NB[Car Traffic])</f>
        <v>208578.48</v>
      </c>
      <c r="F92" s="153">
        <f>SUBTOTAL(109,Table3B.4_27Delay_NB[Car Delay 
(hrs)])</f>
        <v>1493.0596193888891</v>
      </c>
      <c r="G92" s="153">
        <f>SUBTOTAL(109,Table3B.4_27Delay_NB[Truck Traffic])</f>
        <v>13313.52</v>
      </c>
      <c r="H92" s="153">
        <f>SUBTOTAL(109,Table3B.4_27Delay_NB[Truck Delay (hrs)])</f>
        <v>95.301677833333329</v>
      </c>
    </row>
    <row r="93" spans="1:8">
      <c r="A93" s="67"/>
      <c r="C93" s="91"/>
      <c r="D93" s="90"/>
      <c r="E93" s="143"/>
      <c r="F93" s="144"/>
      <c r="G93" s="144"/>
      <c r="H93" s="144"/>
    </row>
    <row r="94" spans="1:8">
      <c r="A94" s="67"/>
      <c r="B94" s="63" t="s">
        <v>199</v>
      </c>
    </row>
    <row r="95" spans="1:8">
      <c r="A95" s="67"/>
      <c r="B95" s="459"/>
      <c r="C95" s="459"/>
      <c r="D95" s="459"/>
      <c r="E95" s="459"/>
      <c r="F95" s="459"/>
      <c r="G95" s="459"/>
      <c r="H95" s="459"/>
    </row>
    <row r="96" spans="1:8" ht="38.25">
      <c r="A96" s="67"/>
      <c r="B96" s="122" t="s">
        <v>183</v>
      </c>
      <c r="C96" s="122" t="s">
        <v>200</v>
      </c>
      <c r="D96" s="122" t="s">
        <v>185</v>
      </c>
      <c r="E96" s="122" t="s">
        <v>201</v>
      </c>
      <c r="F96" s="122" t="s">
        <v>187</v>
      </c>
      <c r="G96" s="122" t="s">
        <v>202</v>
      </c>
      <c r="H96" s="122" t="s">
        <v>203</v>
      </c>
    </row>
    <row r="97" spans="1:8">
      <c r="A97" s="67"/>
      <c r="B97" s="142">
        <v>0.20833333333333334</v>
      </c>
      <c r="C97" s="363">
        <v>14046</v>
      </c>
      <c r="D97" s="363">
        <v>44430.080000000002</v>
      </c>
      <c r="E97" s="363">
        <v>926.27927777777779</v>
      </c>
      <c r="F97" s="363">
        <v>47.97</v>
      </c>
      <c r="G97" s="363">
        <v>76.106761111111112</v>
      </c>
      <c r="H97" s="364">
        <v>5.4194444444444446E-3</v>
      </c>
    </row>
    <row r="98" spans="1:8">
      <c r="A98" s="67"/>
      <c r="B98" s="142">
        <v>0.25</v>
      </c>
      <c r="C98" s="363">
        <v>6463</v>
      </c>
      <c r="D98" s="363">
        <v>19954.28</v>
      </c>
      <c r="E98" s="363">
        <v>410.16185833333333</v>
      </c>
      <c r="F98" s="363">
        <v>48.65</v>
      </c>
      <c r="G98" s="363">
        <v>26.951044444444442</v>
      </c>
      <c r="H98" s="364">
        <v>4.1694444444444444E-3</v>
      </c>
    </row>
    <row r="99" spans="1:8">
      <c r="A99" s="67"/>
      <c r="B99" s="142">
        <v>0.29166666666666702</v>
      </c>
      <c r="C99" s="363">
        <v>10867</v>
      </c>
      <c r="D99" s="363">
        <v>35968.29</v>
      </c>
      <c r="E99" s="363">
        <v>730.09684166666659</v>
      </c>
      <c r="F99" s="363">
        <v>49.27</v>
      </c>
      <c r="G99" s="363">
        <v>46.615611111111114</v>
      </c>
      <c r="H99" s="364">
        <v>4.288888888888889E-3</v>
      </c>
    </row>
    <row r="100" spans="1:8">
      <c r="A100" s="67"/>
      <c r="B100" s="142">
        <v>0.33333333333333298</v>
      </c>
      <c r="C100" s="363">
        <v>18211</v>
      </c>
      <c r="D100" s="363">
        <v>60493.7</v>
      </c>
      <c r="E100" s="363">
        <v>1281.8147805555554</v>
      </c>
      <c r="F100" s="363">
        <v>47.19</v>
      </c>
      <c r="G100" s="363">
        <v>130.77760555555557</v>
      </c>
      <c r="H100" s="364">
        <v>7.1805555555555563E-3</v>
      </c>
    </row>
    <row r="101" spans="1:8">
      <c r="A101" s="67"/>
      <c r="B101" s="142">
        <v>0.375</v>
      </c>
      <c r="C101" s="363">
        <v>16659</v>
      </c>
      <c r="D101" s="363">
        <v>54920.639999999999</v>
      </c>
      <c r="E101" s="363">
        <v>1140.6321694444446</v>
      </c>
      <c r="F101" s="363">
        <v>48.15</v>
      </c>
      <c r="G101" s="363">
        <v>96.623883333333325</v>
      </c>
      <c r="H101" s="364">
        <v>5.7999999999999996E-3</v>
      </c>
    </row>
    <row r="102" spans="1:8">
      <c r="A102" s="67"/>
      <c r="B102" s="142">
        <v>0.41666666666666702</v>
      </c>
      <c r="C102" s="363">
        <v>13409</v>
      </c>
      <c r="D102" s="363">
        <v>44407.1</v>
      </c>
      <c r="E102" s="363">
        <v>905.74284444444447</v>
      </c>
      <c r="F102" s="363">
        <v>49.03</v>
      </c>
      <c r="G102" s="363">
        <v>62.602875000000004</v>
      </c>
      <c r="H102" s="364">
        <v>4.6694444444444439E-3</v>
      </c>
    </row>
    <row r="103" spans="1:8">
      <c r="A103" s="67"/>
      <c r="B103" s="142">
        <v>0.45833333333333298</v>
      </c>
      <c r="C103" s="363">
        <v>12229</v>
      </c>
      <c r="D103" s="363">
        <v>40511.1</v>
      </c>
      <c r="E103" s="363">
        <v>822.01714444444451</v>
      </c>
      <c r="F103" s="363">
        <v>49.28</v>
      </c>
      <c r="G103" s="363">
        <v>52.858008333333331</v>
      </c>
      <c r="H103" s="364">
        <v>4.3222222222222221E-3</v>
      </c>
    </row>
    <row r="104" spans="1:8">
      <c r="A104" s="67"/>
      <c r="B104" s="142">
        <v>0.5</v>
      </c>
      <c r="C104" s="363">
        <v>12242</v>
      </c>
      <c r="D104" s="363">
        <v>40832.620000000003</v>
      </c>
      <c r="E104" s="363">
        <v>828.95387222222223</v>
      </c>
      <c r="F104" s="363">
        <v>49.26</v>
      </c>
      <c r="G104" s="363">
        <v>53.842961111111109</v>
      </c>
      <c r="H104" s="364">
        <v>4.3972222222222225E-3</v>
      </c>
    </row>
    <row r="105" spans="1:8">
      <c r="A105" s="67"/>
      <c r="B105" s="142">
        <v>0.54166666666666696</v>
      </c>
      <c r="C105" s="363">
        <v>14405</v>
      </c>
      <c r="D105" s="363">
        <v>45998.68</v>
      </c>
      <c r="E105" s="363">
        <v>970.12465000000009</v>
      </c>
      <c r="F105" s="363">
        <v>47.42</v>
      </c>
      <c r="G105" s="363">
        <v>89.307474999999997</v>
      </c>
      <c r="H105" s="364">
        <v>6.1999999999999998E-3</v>
      </c>
    </row>
    <row r="106" spans="1:8">
      <c r="A106" s="67"/>
      <c r="B106" s="142">
        <v>0.58333333333333304</v>
      </c>
      <c r="C106" s="363">
        <v>19587</v>
      </c>
      <c r="D106" s="363">
        <v>60802.48</v>
      </c>
      <c r="E106" s="363">
        <v>1330.5130944444443</v>
      </c>
      <c r="F106" s="363">
        <v>45.7</v>
      </c>
      <c r="G106" s="363">
        <v>163.39910833333334</v>
      </c>
      <c r="H106" s="364">
        <v>8.3416666666666674E-3</v>
      </c>
    </row>
    <row r="107" spans="1:8">
      <c r="A107" s="67"/>
      <c r="B107" s="142">
        <v>0.625</v>
      </c>
      <c r="C107" s="363">
        <v>20834</v>
      </c>
      <c r="D107" s="363">
        <v>65127.18</v>
      </c>
      <c r="E107" s="363">
        <v>1440.1000388888888</v>
      </c>
      <c r="F107" s="363">
        <v>45.23</v>
      </c>
      <c r="G107" s="363">
        <v>191.15428888888889</v>
      </c>
      <c r="H107" s="364">
        <v>9.1750000000000009E-3</v>
      </c>
    </row>
    <row r="108" spans="1:8">
      <c r="A108" s="67"/>
      <c r="B108" s="142">
        <v>0.66666666666666696</v>
      </c>
      <c r="C108" s="363">
        <v>21453</v>
      </c>
      <c r="D108" s="363">
        <v>67084.289999999994</v>
      </c>
      <c r="E108" s="363">
        <v>1505.9117166666665</v>
      </c>
      <c r="F108" s="363">
        <v>44.56</v>
      </c>
      <c r="G108" s="363">
        <v>220.56816944444446</v>
      </c>
      <c r="H108" s="364">
        <v>1.0280555555555555E-2</v>
      </c>
    </row>
    <row r="109" spans="1:8">
      <c r="A109" s="67"/>
      <c r="B109" s="142">
        <v>0.70833333333333304</v>
      </c>
      <c r="C109" s="363">
        <v>18908</v>
      </c>
      <c r="D109" s="363">
        <v>58832.83</v>
      </c>
      <c r="E109" s="363">
        <v>1271.8932805555555</v>
      </c>
      <c r="F109" s="363">
        <v>46.26</v>
      </c>
      <c r="G109" s="363">
        <v>145.26316111111112</v>
      </c>
      <c r="H109" s="364">
        <v>7.6805555555555551E-3</v>
      </c>
    </row>
    <row r="110" spans="1:8">
      <c r="A110" s="67"/>
      <c r="B110" s="142">
        <v>0.75</v>
      </c>
      <c r="C110" s="363">
        <v>13068</v>
      </c>
      <c r="D110" s="363">
        <v>40155.660000000003</v>
      </c>
      <c r="E110" s="363">
        <v>837.74030833333325</v>
      </c>
      <c r="F110" s="363">
        <v>47.93</v>
      </c>
      <c r="G110" s="363">
        <v>69.261844444444449</v>
      </c>
      <c r="H110" s="364">
        <v>5.2999999999999992E-3</v>
      </c>
    </row>
    <row r="111" spans="1:8">
      <c r="A111" s="67"/>
      <c r="B111" s="142">
        <v>0.79166666666666663</v>
      </c>
      <c r="C111" s="363">
        <v>9385</v>
      </c>
      <c r="D111" s="363">
        <v>28800.13</v>
      </c>
      <c r="E111" s="363">
        <v>591.34522500000003</v>
      </c>
      <c r="F111" s="363">
        <v>48.7</v>
      </c>
      <c r="G111" s="363">
        <v>40.356994444444446</v>
      </c>
      <c r="H111" s="364">
        <v>4.3E-3</v>
      </c>
    </row>
    <row r="112" spans="1:8">
      <c r="A112" s="67"/>
      <c r="B112" s="130" t="s">
        <v>28</v>
      </c>
      <c r="C112" s="152">
        <f>SUBTOTAL(109,Table3B.5_27TTS_PA[Total Vehicles Traveling Within the Network])</f>
        <v>221766</v>
      </c>
      <c r="D112" s="152">
        <f>SUBTOTAL(109,Table3B.5_27TTS_PA[VMT: Total Path Distance (mi)])</f>
        <v>708319.05999999994</v>
      </c>
      <c r="E112" s="152">
        <f>SUBTOTAL(109,Table3B.5_27TTS_PA[VHT: Total Time Within the Network (hr)])</f>
        <v>14993.327102777777</v>
      </c>
      <c r="F112" s="152">
        <f>SUBTOTAL(101,Table3B.5_27TTS_PA[Average Speed (mph)])</f>
        <v>47.64</v>
      </c>
      <c r="G112" s="152">
        <f>SUBTOTAL(109,Table3B.5_27TTS_PA[Total Delay: All Vehicles (hr)])</f>
        <v>1465.6897916666665</v>
      </c>
      <c r="H112" s="152">
        <f>SUBTOTAL(101,Table3B.5_27TTS_PA[Average Delay: Per Vehicle (hr/veh)])</f>
        <v>6.1016666666666667E-3</v>
      </c>
    </row>
    <row r="113" spans="1:8">
      <c r="A113" s="67"/>
    </row>
    <row r="114" spans="1:8" ht="13.5" customHeight="1">
      <c r="A114" s="67"/>
      <c r="B114" s="63" t="s">
        <v>204</v>
      </c>
    </row>
    <row r="115" spans="1:8">
      <c r="A115" s="67"/>
      <c r="B115" s="459"/>
      <c r="C115" s="459"/>
      <c r="D115" s="459"/>
      <c r="E115" s="459"/>
      <c r="F115" s="459"/>
      <c r="G115" s="459"/>
      <c r="H115" s="459"/>
    </row>
    <row r="116" spans="1:8" ht="25.5">
      <c r="A116" s="67"/>
      <c r="B116" s="122" t="s">
        <v>183</v>
      </c>
      <c r="C116" s="122" t="s">
        <v>191</v>
      </c>
      <c r="D116" s="84" t="s">
        <v>192</v>
      </c>
      <c r="E116" s="122" t="s">
        <v>193</v>
      </c>
      <c r="F116" s="122" t="s">
        <v>194</v>
      </c>
      <c r="G116" s="122" t="s">
        <v>195</v>
      </c>
      <c r="H116" s="122" t="s">
        <v>196</v>
      </c>
    </row>
    <row r="117" spans="1:8">
      <c r="A117" s="67"/>
      <c r="B117" s="142">
        <v>0.20833333333333334</v>
      </c>
      <c r="C117" s="156">
        <v>0.94</v>
      </c>
      <c r="D117" s="156">
        <v>0.06</v>
      </c>
      <c r="E117" s="266">
        <f>C97*Table3B.6_27Delay_PA[[#This Row],[Car Traffic Share]]</f>
        <v>13203.24</v>
      </c>
      <c r="F117" s="155">
        <f>H97*Table3B.6_27Delay_PA[[#This Row],[Car Traffic]]</f>
        <v>71.554225666666667</v>
      </c>
      <c r="G117" s="154">
        <f>C97*Table3B.6_27Delay_PA[[#This Row],[Truck Traffic Share]]</f>
        <v>842.76</v>
      </c>
      <c r="H117" s="155">
        <f>H97*Table3B.6_27Delay_PA[[#This Row],[Truck Traffic]]</f>
        <v>4.567291</v>
      </c>
    </row>
    <row r="118" spans="1:8">
      <c r="A118" s="67"/>
      <c r="B118" s="142">
        <v>0.25</v>
      </c>
      <c r="C118" s="156">
        <v>0.94</v>
      </c>
      <c r="D118" s="156">
        <v>0.06</v>
      </c>
      <c r="E118" s="266">
        <f>C98*Table3B.6_27Delay_PA[[#This Row],[Car Traffic Share]]</f>
        <v>6075.2199999999993</v>
      </c>
      <c r="F118" s="155">
        <f>H98*Table3B.6_27Delay_PA[[#This Row],[Car Traffic]]</f>
        <v>25.330292277777776</v>
      </c>
      <c r="G118" s="154">
        <f>C98*Table3B.6_27Delay_PA[[#This Row],[Truck Traffic Share]]</f>
        <v>387.78</v>
      </c>
      <c r="H118" s="155">
        <f>H98*Table3B.6_27Delay_PA[[#This Row],[Truck Traffic]]</f>
        <v>1.6168271666666665</v>
      </c>
    </row>
    <row r="119" spans="1:8">
      <c r="A119" s="67"/>
      <c r="B119" s="142">
        <v>0.29166666666666702</v>
      </c>
      <c r="C119" s="156">
        <v>0.94</v>
      </c>
      <c r="D119" s="156">
        <v>0.06</v>
      </c>
      <c r="E119" s="266">
        <f>C99*Table3B.6_27Delay_PA[[#This Row],[Car Traffic Share]]</f>
        <v>10214.98</v>
      </c>
      <c r="F119" s="155">
        <f>H99*Table3B.6_27Delay_PA[[#This Row],[Car Traffic]]</f>
        <v>43.810914222222223</v>
      </c>
      <c r="G119" s="154">
        <f>C99*Table3B.6_27Delay_PA[[#This Row],[Truck Traffic Share]]</f>
        <v>652.02</v>
      </c>
      <c r="H119" s="155">
        <f>H99*Table3B.6_27Delay_PA[[#This Row],[Truck Traffic]]</f>
        <v>2.7964413333333331</v>
      </c>
    </row>
    <row r="120" spans="1:8">
      <c r="A120" s="67"/>
      <c r="B120" s="142">
        <v>0.33333333333333298</v>
      </c>
      <c r="C120" s="156">
        <v>0.94</v>
      </c>
      <c r="D120" s="156">
        <v>0.06</v>
      </c>
      <c r="E120" s="266">
        <f>C100*Table3B.6_27Delay_PA[[#This Row],[Car Traffic Share]]</f>
        <v>17118.34</v>
      </c>
      <c r="F120" s="155">
        <f>H100*Table3B.6_27Delay_PA[[#This Row],[Car Traffic]]</f>
        <v>122.9191913888889</v>
      </c>
      <c r="G120" s="154">
        <f>C100*Table3B.6_27Delay_PA[[#This Row],[Truck Traffic Share]]</f>
        <v>1092.6599999999999</v>
      </c>
      <c r="H120" s="155">
        <f>H100*Table3B.6_27Delay_PA[[#This Row],[Truck Traffic]]</f>
        <v>7.8459058333333331</v>
      </c>
    </row>
    <row r="121" spans="1:8">
      <c r="A121" s="67"/>
      <c r="B121" s="142">
        <v>0.375</v>
      </c>
      <c r="C121" s="156">
        <v>0.94</v>
      </c>
      <c r="D121" s="156">
        <v>0.06</v>
      </c>
      <c r="E121" s="266">
        <f>C101*Table3B.6_27Delay_PA[[#This Row],[Car Traffic Share]]</f>
        <v>15659.46</v>
      </c>
      <c r="F121" s="155">
        <f>H101*Table3B.6_27Delay_PA[[#This Row],[Car Traffic]]</f>
        <v>90.824867999999995</v>
      </c>
      <c r="G121" s="154">
        <f>C101*Table3B.6_27Delay_PA[[#This Row],[Truck Traffic Share]]</f>
        <v>999.54</v>
      </c>
      <c r="H121" s="155">
        <f>H101*Table3B.6_27Delay_PA[[#This Row],[Truck Traffic]]</f>
        <v>5.797331999999999</v>
      </c>
    </row>
    <row r="122" spans="1:8">
      <c r="A122" s="67"/>
      <c r="B122" s="142">
        <v>0.41666666666666702</v>
      </c>
      <c r="C122" s="156">
        <v>0.94</v>
      </c>
      <c r="D122" s="156">
        <v>0.06</v>
      </c>
      <c r="E122" s="266">
        <f>C102*Table3B.6_27Delay_PA[[#This Row],[Car Traffic Share]]</f>
        <v>12604.46</v>
      </c>
      <c r="F122" s="155">
        <f>H102*Table3B.6_27Delay_PA[[#This Row],[Car Traffic]]</f>
        <v>58.855825722222214</v>
      </c>
      <c r="G122" s="154">
        <f>C102*Table3B.6_27Delay_PA[[#This Row],[Truck Traffic Share]]</f>
        <v>804.54</v>
      </c>
      <c r="H122" s="155">
        <f>H102*Table3B.6_27Delay_PA[[#This Row],[Truck Traffic]]</f>
        <v>3.7567548333333329</v>
      </c>
    </row>
    <row r="123" spans="1:8">
      <c r="A123" s="67"/>
      <c r="B123" s="142">
        <v>0.45833333333333298</v>
      </c>
      <c r="C123" s="156">
        <v>0.94</v>
      </c>
      <c r="D123" s="156">
        <v>0.06</v>
      </c>
      <c r="E123" s="266">
        <f>C103*Table3B.6_27Delay_PA[[#This Row],[Car Traffic Share]]</f>
        <v>11495.26</v>
      </c>
      <c r="F123" s="155">
        <f>H103*Table3B.6_27Delay_PA[[#This Row],[Car Traffic]]</f>
        <v>49.68506822222222</v>
      </c>
      <c r="G123" s="154">
        <f>C103*Table3B.6_27Delay_PA[[#This Row],[Truck Traffic Share]]</f>
        <v>733.74</v>
      </c>
      <c r="H123" s="155">
        <f>H103*Table3B.6_27Delay_PA[[#This Row],[Truck Traffic]]</f>
        <v>3.1713873333333331</v>
      </c>
    </row>
    <row r="124" spans="1:8">
      <c r="A124" s="67"/>
      <c r="B124" s="142">
        <v>0.5</v>
      </c>
      <c r="C124" s="156">
        <v>0.94</v>
      </c>
      <c r="D124" s="156">
        <v>0.06</v>
      </c>
      <c r="E124" s="266">
        <f>C104*Table3B.6_27Delay_PA[[#This Row],[Car Traffic Share]]</f>
        <v>11507.48</v>
      </c>
      <c r="F124" s="155">
        <f>H104*Table3B.6_27Delay_PA[[#This Row],[Car Traffic]]</f>
        <v>50.600946777777779</v>
      </c>
      <c r="G124" s="154">
        <f>C104*Table3B.6_27Delay_PA[[#This Row],[Truck Traffic Share]]</f>
        <v>734.52</v>
      </c>
      <c r="H124" s="155">
        <f>H104*Table3B.6_27Delay_PA[[#This Row],[Truck Traffic]]</f>
        <v>3.2298476666666667</v>
      </c>
    </row>
    <row r="125" spans="1:8">
      <c r="A125" s="67"/>
      <c r="B125" s="142">
        <v>0.54166666666666696</v>
      </c>
      <c r="C125" s="156">
        <v>0.94</v>
      </c>
      <c r="D125" s="156">
        <v>0.06</v>
      </c>
      <c r="E125" s="266">
        <f>C105*Table3B.6_27Delay_PA[[#This Row],[Car Traffic Share]]</f>
        <v>13540.699999999999</v>
      </c>
      <c r="F125" s="155">
        <f>H105*Table3B.6_27Delay_PA[[#This Row],[Car Traffic]]</f>
        <v>83.952339999999992</v>
      </c>
      <c r="G125" s="154">
        <f>C105*Table3B.6_27Delay_PA[[#This Row],[Truck Traffic Share]]</f>
        <v>864.3</v>
      </c>
      <c r="H125" s="155">
        <f>H105*Table3B.6_27Delay_PA[[#This Row],[Truck Traffic]]</f>
        <v>5.3586599999999995</v>
      </c>
    </row>
    <row r="126" spans="1:8">
      <c r="A126" s="67"/>
      <c r="B126" s="142">
        <v>0.58333333333333304</v>
      </c>
      <c r="C126" s="156">
        <v>0.94</v>
      </c>
      <c r="D126" s="156">
        <v>0.06</v>
      </c>
      <c r="E126" s="266">
        <f>C106*Table3B.6_27Delay_PA[[#This Row],[Car Traffic Share]]</f>
        <v>18411.78</v>
      </c>
      <c r="F126" s="155">
        <f>H106*Table3B.6_27Delay_PA[[#This Row],[Car Traffic]]</f>
        <v>153.58493150000001</v>
      </c>
      <c r="G126" s="154">
        <f>C106*Table3B.6_27Delay_PA[[#This Row],[Truck Traffic Share]]</f>
        <v>1175.22</v>
      </c>
      <c r="H126" s="155">
        <f>H106*Table3B.6_27Delay_PA[[#This Row],[Truck Traffic]]</f>
        <v>9.8032935000000005</v>
      </c>
    </row>
    <row r="127" spans="1:8">
      <c r="A127" s="67"/>
      <c r="B127" s="142">
        <v>0.625</v>
      </c>
      <c r="C127" s="156">
        <v>0.94</v>
      </c>
      <c r="D127" s="156">
        <v>0.06</v>
      </c>
      <c r="E127" s="266">
        <f>C107*Table3B.6_27Delay_PA[[#This Row],[Car Traffic Share]]</f>
        <v>19583.96</v>
      </c>
      <c r="F127" s="155">
        <f>H107*Table3B.6_27Delay_PA[[#This Row],[Car Traffic]]</f>
        <v>179.68283300000002</v>
      </c>
      <c r="G127" s="154">
        <f>C107*Table3B.6_27Delay_PA[[#This Row],[Truck Traffic Share]]</f>
        <v>1250.04</v>
      </c>
      <c r="H127" s="155">
        <f>H107*Table3B.6_27Delay_PA[[#This Row],[Truck Traffic]]</f>
        <v>11.469117000000001</v>
      </c>
    </row>
    <row r="128" spans="1:8">
      <c r="A128" s="67"/>
      <c r="B128" s="142">
        <v>0.66666666666666696</v>
      </c>
      <c r="C128" s="156">
        <v>0.94</v>
      </c>
      <c r="D128" s="156">
        <v>0.06</v>
      </c>
      <c r="E128" s="266">
        <f>C108*Table3B.6_27Delay_PA[[#This Row],[Car Traffic Share]]</f>
        <v>20165.82</v>
      </c>
      <c r="F128" s="155">
        <f>H108*Table3B.6_27Delay_PA[[#This Row],[Car Traffic]]</f>
        <v>207.31583283333333</v>
      </c>
      <c r="G128" s="154">
        <f>C108*Table3B.6_27Delay_PA[[#This Row],[Truck Traffic Share]]</f>
        <v>1287.18</v>
      </c>
      <c r="H128" s="155">
        <f>H108*Table3B.6_27Delay_PA[[#This Row],[Truck Traffic]]</f>
        <v>13.2329255</v>
      </c>
    </row>
    <row r="129" spans="1:8">
      <c r="A129" s="67"/>
      <c r="B129" s="142">
        <v>0.70833333333333304</v>
      </c>
      <c r="C129" s="156">
        <v>0.94</v>
      </c>
      <c r="D129" s="156">
        <v>0.06</v>
      </c>
      <c r="E129" s="266">
        <f>C109*Table3B.6_27Delay_PA[[#This Row],[Car Traffic Share]]</f>
        <v>17773.52</v>
      </c>
      <c r="F129" s="155">
        <f>H109*Table3B.6_27Delay_PA[[#This Row],[Car Traffic]]</f>
        <v>136.51050777777778</v>
      </c>
      <c r="G129" s="154">
        <f>C109*Table3B.6_27Delay_PA[[#This Row],[Truck Traffic Share]]</f>
        <v>1134.48</v>
      </c>
      <c r="H129" s="155">
        <f>H109*Table3B.6_27Delay_PA[[#This Row],[Truck Traffic]]</f>
        <v>8.7134366666666665</v>
      </c>
    </row>
    <row r="130" spans="1:8">
      <c r="A130" s="67"/>
      <c r="B130" s="142">
        <v>0.75</v>
      </c>
      <c r="C130" s="156">
        <v>0.94</v>
      </c>
      <c r="D130" s="156">
        <v>0.06</v>
      </c>
      <c r="E130" s="266">
        <f>C110*Table3B.6_27Delay_PA[[#This Row],[Car Traffic Share]]</f>
        <v>12283.92</v>
      </c>
      <c r="F130" s="155">
        <f>H110*Table3B.6_27Delay_PA[[#This Row],[Car Traffic]]</f>
        <v>65.104775999999987</v>
      </c>
      <c r="G130" s="154">
        <f>C110*Table3B.6_27Delay_PA[[#This Row],[Truck Traffic Share]]</f>
        <v>784.07999999999993</v>
      </c>
      <c r="H130" s="155">
        <f>H110*Table3B.6_27Delay_PA[[#This Row],[Truck Traffic]]</f>
        <v>4.1556239999999987</v>
      </c>
    </row>
    <row r="131" spans="1:8" ht="13.5" thickBot="1">
      <c r="B131" s="142">
        <v>0.79166666666666663</v>
      </c>
      <c r="C131" s="158">
        <v>0.94</v>
      </c>
      <c r="D131" s="158">
        <v>0.06</v>
      </c>
      <c r="E131" s="267">
        <f>C111*Table3B.6_27Delay_PA[[#This Row],[Car Traffic Share]]</f>
        <v>8821.9</v>
      </c>
      <c r="F131" s="160">
        <f>H111*Table3B.6_27Delay_PA[[#This Row],[Car Traffic]]</f>
        <v>37.934170000000002</v>
      </c>
      <c r="G131" s="159">
        <f>C111*Table3B.6_27Delay_PA[[#This Row],[Truck Traffic Share]]</f>
        <v>563.1</v>
      </c>
      <c r="H131" s="160">
        <f>H111*Table3B.6_27Delay_PA[[#This Row],[Truck Traffic]]</f>
        <v>2.4213300000000002</v>
      </c>
    </row>
    <row r="132" spans="1:8" s="76" customFormat="1" ht="13.5" thickTop="1">
      <c r="B132" s="166" t="s">
        <v>28</v>
      </c>
      <c r="C132" s="127"/>
      <c r="D132" s="127"/>
      <c r="E132" s="167">
        <f>SUBTOTAL(109,Table3B.6_27Delay_PA[Car Traffic])</f>
        <v>208460.03999999998</v>
      </c>
      <c r="F132" s="167">
        <f>SUBTOTAL(109,Table3B.6_27Delay_PA[Car Delay 
(hrs)])</f>
        <v>1377.6667233888891</v>
      </c>
      <c r="G132" s="167">
        <f>SUBTOTAL(109,Table3B.6_27Delay_PA[Truck Traffic])</f>
        <v>13305.96</v>
      </c>
      <c r="H132" s="167">
        <f>SUBTOTAL(109,Table3B.6_27Delay_PA[Truck Delay (hrs)])</f>
        <v>87.936173833333328</v>
      </c>
    </row>
    <row r="134" spans="1:8">
      <c r="B134" s="63" t="s">
        <v>205</v>
      </c>
    </row>
    <row r="135" spans="1:8">
      <c r="B135" s="459"/>
      <c r="C135" s="459"/>
      <c r="D135" s="459"/>
      <c r="E135" s="459"/>
      <c r="F135" s="459"/>
      <c r="G135" s="459"/>
      <c r="H135" s="459"/>
    </row>
    <row r="136" spans="1:8" ht="25.5">
      <c r="B136" s="122" t="s">
        <v>183</v>
      </c>
      <c r="C136" s="122" t="s">
        <v>206</v>
      </c>
      <c r="D136" s="84" t="s">
        <v>207</v>
      </c>
      <c r="E136" s="122" t="s">
        <v>208</v>
      </c>
      <c r="F136" s="122" t="s">
        <v>209</v>
      </c>
      <c r="G136" s="122" t="s">
        <v>210</v>
      </c>
      <c r="H136" s="122" t="s">
        <v>211</v>
      </c>
    </row>
    <row r="137" spans="1:8">
      <c r="B137" s="142">
        <v>0.20833333333333334</v>
      </c>
      <c r="C137" s="157">
        <f t="shared" ref="C137:C151" si="0">F77-F117</f>
        <v>-1.322055166666658</v>
      </c>
      <c r="D137" s="157">
        <f t="shared" ref="D137:D151" si="1">H77-H117</f>
        <v>-8.4386499999999032E-2</v>
      </c>
      <c r="E137" s="162">
        <f>Table3B.7_27Money[[#This Row],[Car Delay Savings (hrs)]]*All_Purpose_Travel*Passenger_Vehicles_Occupancy</f>
        <v>-41.507244012666391</v>
      </c>
      <c r="F137" s="162">
        <f>Table3B.7_27Money[[#This Row],[Truck Delay Savings (hrs)]]*Truck_Travel</f>
        <v>-2.7341225999999685</v>
      </c>
      <c r="G137" s="162">
        <f>(Table3B.7_27Money[[#This Row],[Truck Savings Benefits (Daily)]]+Table3B.7_27Money[[#This Row],[Car Savings Benefits (Daily)]])*270</f>
        <v>-11945.168985419918</v>
      </c>
      <c r="H137" s="162">
        <f>(Table3B.7_27Money[[#This Row],[Car Savings Benefits (Daily)]]+Table3B.7_27Money[[#This Row],[Truck Savings Benefits (Daily)]])*365</f>
        <v>-16148.098813623223</v>
      </c>
    </row>
    <row r="138" spans="1:8">
      <c r="B138" s="142">
        <v>0.25</v>
      </c>
      <c r="C138" s="157">
        <f t="shared" si="0"/>
        <v>-1.2994220555555529</v>
      </c>
      <c r="D138" s="157">
        <f t="shared" si="1"/>
        <v>-8.2941833333333159E-2</v>
      </c>
      <c r="E138" s="162">
        <f>Table3B.7_27Money[[#This Row],[Car Delay Savings (hrs)]]*All_Purpose_Travel*Passenger_Vehicles_Occupancy</f>
        <v>-40.79665485622214</v>
      </c>
      <c r="F138" s="162">
        <f>Table3B.7_27Money[[#This Row],[Truck Delay Savings (hrs)]]*Truck_Travel</f>
        <v>-2.6873153999999944</v>
      </c>
      <c r="G138" s="162">
        <f>(Table3B.7_27Money[[#This Row],[Truck Savings Benefits (Daily)]]+Table3B.7_27Money[[#This Row],[Car Savings Benefits (Daily)]])*270</f>
        <v>-11740.671969179977</v>
      </c>
      <c r="H138" s="162">
        <f>(Table3B.7_27Money[[#This Row],[Car Savings Benefits (Daily)]]+Table3B.7_27Money[[#This Row],[Truck Savings Benefits (Daily)]])*365</f>
        <v>-15871.649143521079</v>
      </c>
    </row>
    <row r="139" spans="1:8">
      <c r="B139" s="142">
        <v>0.29166666666666702</v>
      </c>
      <c r="C139" s="157">
        <f t="shared" si="0"/>
        <v>6.0786666666665212E-2</v>
      </c>
      <c r="D139" s="157">
        <f t="shared" si="1"/>
        <v>3.8800000000001056E-3</v>
      </c>
      <c r="E139" s="162">
        <f>Table3B.7_27Money[[#This Row],[Car Delay Savings (hrs)]]*All_Purpose_Travel*Passenger_Vehicles_Occupancy</f>
        <v>1.908458186666621</v>
      </c>
      <c r="F139" s="162">
        <f>Table3B.7_27Money[[#This Row],[Truck Delay Savings (hrs)]]*Truck_Travel</f>
        <v>0.1257120000000034</v>
      </c>
      <c r="G139" s="162">
        <f>(Table3B.7_27Money[[#This Row],[Truck Savings Benefits (Daily)]]+Table3B.7_27Money[[#This Row],[Car Savings Benefits (Daily)]])*270</f>
        <v>549.22595039998862</v>
      </c>
      <c r="H139" s="162">
        <f>(Table3B.7_27Money[[#This Row],[Car Savings Benefits (Daily)]]+Table3B.7_27Money[[#This Row],[Truck Savings Benefits (Daily)]])*365</f>
        <v>742.47211813331796</v>
      </c>
    </row>
    <row r="140" spans="1:8">
      <c r="B140" s="142">
        <v>0.33333333333333298</v>
      </c>
      <c r="C140" s="157">
        <f t="shared" si="0"/>
        <v>12.326102499999976</v>
      </c>
      <c r="D140" s="157">
        <f t="shared" si="1"/>
        <v>0.78677249999999965</v>
      </c>
      <c r="E140" s="162">
        <f>Table3B.7_27Money[[#This Row],[Car Delay Savings (hrs)]]*All_Purpose_Travel*Passenger_Vehicles_Occupancy</f>
        <v>386.99031408999929</v>
      </c>
      <c r="F140" s="162">
        <f>Table3B.7_27Money[[#This Row],[Truck Delay Savings (hrs)]]*Truck_Travel</f>
        <v>25.491428999999986</v>
      </c>
      <c r="G140" s="162">
        <f>(Table3B.7_27Money[[#This Row],[Truck Savings Benefits (Daily)]]+Table3B.7_27Money[[#This Row],[Car Savings Benefits (Daily)]])*270</f>
        <v>111370.0706342998</v>
      </c>
      <c r="H140" s="162">
        <f>(Table3B.7_27Money[[#This Row],[Car Savings Benefits (Daily)]]+Table3B.7_27Money[[#This Row],[Truck Savings Benefits (Daily)]])*365</f>
        <v>150555.83622784974</v>
      </c>
    </row>
    <row r="141" spans="1:8">
      <c r="B141" s="142">
        <v>0.375</v>
      </c>
      <c r="C141" s="157">
        <f t="shared" si="0"/>
        <v>31.036371666666668</v>
      </c>
      <c r="D141" s="157">
        <f t="shared" si="1"/>
        <v>1.9810450000000008</v>
      </c>
      <c r="E141" s="162">
        <f>Table3B.7_27Money[[#This Row],[Car Delay Savings (hrs)]]*All_Purpose_Travel*Passenger_Vehicles_Occupancy</f>
        <v>974.41792484666666</v>
      </c>
      <c r="F141" s="162">
        <f>Table3B.7_27Money[[#This Row],[Truck Delay Savings (hrs)]]*Truck_Travel</f>
        <v>64.185858000000025</v>
      </c>
      <c r="G141" s="162">
        <f>(Table3B.7_27Money[[#This Row],[Truck Savings Benefits (Daily)]]+Table3B.7_27Money[[#This Row],[Car Savings Benefits (Daily)]])*270</f>
        <v>280423.02136860002</v>
      </c>
      <c r="H141" s="162">
        <f>(Table3B.7_27Money[[#This Row],[Car Savings Benefits (Daily)]]+Table3B.7_27Money[[#This Row],[Truck Savings Benefits (Daily)]])*365</f>
        <v>379090.38073903334</v>
      </c>
    </row>
    <row r="142" spans="1:8">
      <c r="B142" s="142">
        <v>0.41666666666666702</v>
      </c>
      <c r="C142" s="157">
        <f t="shared" si="0"/>
        <v>8.6989506111111083</v>
      </c>
      <c r="D142" s="157">
        <f t="shared" si="1"/>
        <v>0.55525216666666655</v>
      </c>
      <c r="E142" s="162">
        <f>Table3B.7_27Money[[#This Row],[Car Delay Savings (hrs)]]*All_Purpose_Travel*Passenger_Vehicles_Occupancy</f>
        <v>273.11225338644437</v>
      </c>
      <c r="F142" s="162">
        <f>Table3B.7_27Money[[#This Row],[Truck Delay Savings (hrs)]]*Truck_Travel</f>
        <v>17.990170199999994</v>
      </c>
      <c r="G142" s="162">
        <f>(Table3B.7_27Money[[#This Row],[Truck Savings Benefits (Daily)]]+Table3B.7_27Money[[#This Row],[Car Savings Benefits (Daily)]])*270</f>
        <v>78597.65436833998</v>
      </c>
      <c r="H142" s="162">
        <f>(Table3B.7_27Money[[#This Row],[Car Savings Benefits (Daily)]]+Table3B.7_27Money[[#This Row],[Truck Savings Benefits (Daily)]])*365</f>
        <v>106252.3846090522</v>
      </c>
    </row>
    <row r="143" spans="1:8">
      <c r="B143" s="142">
        <v>0.45833333333333298</v>
      </c>
      <c r="C143" s="157">
        <f t="shared" si="0"/>
        <v>-0.18445933333333642</v>
      </c>
      <c r="D143" s="157">
        <f t="shared" si="1"/>
        <v>-1.1773999999999951E-2</v>
      </c>
      <c r="E143" s="162">
        <f>Table3B.7_27Money[[#This Row],[Car Delay Savings (hrs)]]*All_Purpose_Travel*Passenger_Vehicles_Occupancy</f>
        <v>-5.7912852293334298</v>
      </c>
      <c r="F143" s="162">
        <f>Table3B.7_27Money[[#This Row],[Truck Delay Savings (hrs)]]*Truck_Travel</f>
        <v>-0.38147759999999842</v>
      </c>
      <c r="G143" s="162">
        <f>(Table3B.7_27Money[[#This Row],[Truck Savings Benefits (Daily)]]+Table3B.7_27Money[[#This Row],[Car Savings Benefits (Daily)]])*270</f>
        <v>-1666.6459639200257</v>
      </c>
      <c r="H143" s="162">
        <f>(Table3B.7_27Money[[#This Row],[Car Savings Benefits (Daily)]]+Table3B.7_27Money[[#This Row],[Truck Savings Benefits (Daily)]])*365</f>
        <v>-2253.0584327067013</v>
      </c>
    </row>
    <row r="144" spans="1:8">
      <c r="B144" s="142">
        <v>0.5</v>
      </c>
      <c r="C144" s="157">
        <f t="shared" si="0"/>
        <v>-0.74807027777778501</v>
      </c>
      <c r="D144" s="157">
        <f t="shared" si="1"/>
        <v>-4.7749166666666731E-2</v>
      </c>
      <c r="E144" s="162">
        <f>Table3B.7_27Money[[#This Row],[Car Delay Savings (hrs)]]*All_Purpose_Travel*Passenger_Vehicles_Occupancy</f>
        <v>-23.486414441111339</v>
      </c>
      <c r="F144" s="162">
        <f>Table3B.7_27Money[[#This Row],[Truck Delay Savings (hrs)]]*Truck_Travel</f>
        <v>-1.5470730000000019</v>
      </c>
      <c r="G144" s="162">
        <f>(Table3B.7_27Money[[#This Row],[Truck Savings Benefits (Daily)]]+Table3B.7_27Money[[#This Row],[Car Savings Benefits (Daily)]])*270</f>
        <v>-6759.0416091000616</v>
      </c>
      <c r="H144" s="162">
        <f>(Table3B.7_27Money[[#This Row],[Car Savings Benefits (Daily)]]+Table3B.7_27Money[[#This Row],[Truck Savings Benefits (Daily)]])*365</f>
        <v>-9137.2229160056395</v>
      </c>
    </row>
    <row r="145" spans="2:8">
      <c r="B145" s="142">
        <v>0.54166666666666696</v>
      </c>
      <c r="C145" s="157">
        <f t="shared" si="0"/>
        <v>1.8806527777777688</v>
      </c>
      <c r="D145" s="157">
        <f t="shared" si="1"/>
        <v>0.12004166666666638</v>
      </c>
      <c r="E145" s="162">
        <f>Table3B.7_27Money[[#This Row],[Car Delay Savings (hrs)]]*All_Purpose_Travel*Passenger_Vehicles_Occupancy</f>
        <v>59.044974611110824</v>
      </c>
      <c r="F145" s="162">
        <f>Table3B.7_27Money[[#This Row],[Truck Delay Savings (hrs)]]*Truck_Travel</f>
        <v>3.8893499999999905</v>
      </c>
      <c r="G145" s="162">
        <f>(Table3B.7_27Money[[#This Row],[Truck Savings Benefits (Daily)]]+Table3B.7_27Money[[#This Row],[Car Savings Benefits (Daily)]])*270</f>
        <v>16992.26764499992</v>
      </c>
      <c r="H145" s="162">
        <f>(Table3B.7_27Money[[#This Row],[Car Savings Benefits (Daily)]]+Table3B.7_27Money[[#This Row],[Truck Savings Benefits (Daily)]])*365</f>
        <v>22971.028483055448</v>
      </c>
    </row>
    <row r="146" spans="2:8">
      <c r="B146" s="142">
        <v>0.58333333333333304</v>
      </c>
      <c r="C146" s="157">
        <f t="shared" si="0"/>
        <v>1.9672868333333042</v>
      </c>
      <c r="D146" s="157">
        <f t="shared" si="1"/>
        <v>0.12557149999999773</v>
      </c>
      <c r="E146" s="162">
        <f>Table3B.7_27Money[[#This Row],[Car Delay Savings (hrs)]]*All_Purpose_Travel*Passenger_Vehicles_Occupancy</f>
        <v>61.764937419332419</v>
      </c>
      <c r="F146" s="162">
        <f>Table3B.7_27Money[[#This Row],[Truck Delay Savings (hrs)]]*Truck_Travel</f>
        <v>4.068516599999926</v>
      </c>
      <c r="G146" s="162">
        <f>(Table3B.7_27Money[[#This Row],[Truck Savings Benefits (Daily)]]+Table3B.7_27Money[[#This Row],[Car Savings Benefits (Daily)]])*270</f>
        <v>17775.032585219735</v>
      </c>
      <c r="H146" s="162">
        <f>(Table3B.7_27Money[[#This Row],[Car Savings Benefits (Daily)]]+Table3B.7_27Money[[#This Row],[Truck Savings Benefits (Daily)]])*365</f>
        <v>24029.210717056307</v>
      </c>
    </row>
    <row r="147" spans="2:8">
      <c r="B147" s="142">
        <v>0.625</v>
      </c>
      <c r="C147" s="157">
        <f t="shared" si="0"/>
        <v>19.808071666666621</v>
      </c>
      <c r="D147" s="157">
        <f t="shared" si="1"/>
        <v>1.2643449999999987</v>
      </c>
      <c r="E147" s="162">
        <f>Table3B.7_27Money[[#This Row],[Car Delay Savings (hrs)]]*All_Purpose_Travel*Passenger_Vehicles_Occupancy</f>
        <v>621.89421804666529</v>
      </c>
      <c r="F147" s="162">
        <f>Table3B.7_27Money[[#This Row],[Truck Delay Savings (hrs)]]*Truck_Travel</f>
        <v>40.96477799999996</v>
      </c>
      <c r="G147" s="162">
        <f>(Table3B.7_27Money[[#This Row],[Truck Savings Benefits (Daily)]]+Table3B.7_27Money[[#This Row],[Car Savings Benefits (Daily)]])*270</f>
        <v>178971.92893259961</v>
      </c>
      <c r="H147" s="162">
        <f>(Table3B.7_27Money[[#This Row],[Car Savings Benefits (Daily)]]+Table3B.7_27Money[[#This Row],[Truck Savings Benefits (Daily)]])*365</f>
        <v>241943.53355703279</v>
      </c>
    </row>
    <row r="148" spans="2:8">
      <c r="B148" s="142">
        <v>0.66666666666666696</v>
      </c>
      <c r="C148" s="157">
        <f t="shared" si="0"/>
        <v>28.069556722222217</v>
      </c>
      <c r="D148" s="157">
        <f t="shared" si="1"/>
        <v>1.7916738333333324</v>
      </c>
      <c r="E148" s="162">
        <f>Table3B.7_27Money[[#This Row],[Car Delay Savings (hrs)]]*All_Purpose_Travel*Passenger_Vehicles_Occupancy</f>
        <v>881.27180285088878</v>
      </c>
      <c r="F148" s="162">
        <f>Table3B.7_27Money[[#This Row],[Truck Delay Savings (hrs)]]*Truck_Travel</f>
        <v>58.050232199999968</v>
      </c>
      <c r="G148" s="162">
        <f>(Table3B.7_27Money[[#This Row],[Truck Savings Benefits (Daily)]]+Table3B.7_27Money[[#This Row],[Car Savings Benefits (Daily)]])*270</f>
        <v>253616.94946373996</v>
      </c>
      <c r="H148" s="162">
        <f>(Table3B.7_27Money[[#This Row],[Car Savings Benefits (Daily)]]+Table3B.7_27Money[[#This Row],[Truck Savings Benefits (Daily)]])*365</f>
        <v>342852.54279357439</v>
      </c>
    </row>
    <row r="149" spans="2:8">
      <c r="B149" s="142">
        <v>0.70833333333333304</v>
      </c>
      <c r="C149" s="157">
        <f t="shared" si="0"/>
        <v>11.922542222222233</v>
      </c>
      <c r="D149" s="157">
        <f t="shared" si="1"/>
        <v>0.76101333333333443</v>
      </c>
      <c r="E149" s="162">
        <f>Table3B.7_27Money[[#This Row],[Car Delay Savings (hrs)]]*All_Purpose_Travel*Passenger_Vehicles_Occupancy</f>
        <v>374.32013560888925</v>
      </c>
      <c r="F149" s="162">
        <f>Table3B.7_27Money[[#This Row],[Truck Delay Savings (hrs)]]*Truck_Travel</f>
        <v>24.656832000000033</v>
      </c>
      <c r="G149" s="162">
        <f>(Table3B.7_27Money[[#This Row],[Truck Savings Benefits (Daily)]]+Table3B.7_27Money[[#This Row],[Car Savings Benefits (Daily)]])*270</f>
        <v>107723.78125440009</v>
      </c>
      <c r="H149" s="162">
        <f>(Table3B.7_27Money[[#This Row],[Car Savings Benefits (Daily)]]+Table3B.7_27Money[[#This Row],[Truck Savings Benefits (Daily)]])*365</f>
        <v>145626.59317724459</v>
      </c>
    </row>
    <row r="150" spans="2:8">
      <c r="B150" s="142">
        <v>0.75</v>
      </c>
      <c r="C150" s="157">
        <f t="shared" si="0"/>
        <v>1.5247740000000221</v>
      </c>
      <c r="D150" s="157">
        <f t="shared" si="1"/>
        <v>9.7326000000001578E-2</v>
      </c>
      <c r="E150" s="162">
        <f>Table3B.7_27Money[[#This Row],[Car Delay Savings (hrs)]]*All_Purpose_Travel*Passenger_Vehicles_Occupancy</f>
        <v>47.871804504000693</v>
      </c>
      <c r="F150" s="162">
        <f>Table3B.7_27Money[[#This Row],[Truck Delay Savings (hrs)]]*Truck_Travel</f>
        <v>3.1533624000000509</v>
      </c>
      <c r="G150" s="162">
        <f>(Table3B.7_27Money[[#This Row],[Truck Savings Benefits (Daily)]]+Table3B.7_27Money[[#This Row],[Car Savings Benefits (Daily)]])*270</f>
        <v>13776.795064080201</v>
      </c>
      <c r="H150" s="162">
        <f>(Table3B.7_27Money[[#This Row],[Car Savings Benefits (Daily)]]+Table3B.7_27Money[[#This Row],[Truck Savings Benefits (Daily)]])*365</f>
        <v>18624.18591996027</v>
      </c>
    </row>
    <row r="151" spans="2:8" ht="13.5" thickBot="1">
      <c r="B151" s="142">
        <v>0.79166666666666663</v>
      </c>
      <c r="C151" s="161">
        <f t="shared" si="0"/>
        <v>1.6518071666666572</v>
      </c>
      <c r="D151" s="161">
        <f t="shared" si="1"/>
        <v>0.10543449999999943</v>
      </c>
      <c r="E151" s="163">
        <f>Table3B.7_27Money[[#This Row],[Car Delay Savings (hrs)]]*All_Purpose_Travel*Passenger_Vehicles_Occupancy</f>
        <v>51.860137804666365</v>
      </c>
      <c r="F151" s="163">
        <f>Table3B.7_27Money[[#This Row],[Truck Delay Savings (hrs)]]*Truck_Travel</f>
        <v>3.4160777999999814</v>
      </c>
      <c r="G151" s="163">
        <f>(Table3B.7_27Money[[#This Row],[Truck Savings Benefits (Daily)]]+Table3B.7_27Money[[#This Row],[Car Savings Benefits (Daily)]])*270</f>
        <v>14924.578213259914</v>
      </c>
      <c r="H151" s="163">
        <f>(Table3B.7_27Money[[#This Row],[Car Savings Benefits (Daily)]]+Table3B.7_27Money[[#This Row],[Truck Savings Benefits (Daily)]])*365</f>
        <v>20175.818695703216</v>
      </c>
    </row>
    <row r="152" spans="2:8" ht="13.5" thickTop="1">
      <c r="B152" s="90" t="s">
        <v>28</v>
      </c>
      <c r="C152" s="81"/>
      <c r="D152" s="81"/>
      <c r="E152" s="126">
        <f>SUBTOTAL(109,Table3B.7_27Money[Car Savings Benefits (Daily)])</f>
        <v>3622.875362815998</v>
      </c>
      <c r="F152" s="126">
        <f>SUBTOTAL(109,Table3B.7_27Money[Truck Savings Benefits (Daily)])</f>
        <v>238.64232959999995</v>
      </c>
      <c r="G152" s="126">
        <f>SUBTOTAL(109,Table3B.7_27Money[Total Benefits, Low (270 Days)])</f>
        <v>1042609.7769523191</v>
      </c>
      <c r="H152" s="126">
        <f>SUBTOTAL(109,Table3B.7_27Money[Total Benefits, High (365 Days)])</f>
        <v>1409453.9577318388</v>
      </c>
    </row>
  </sheetData>
  <mergeCells count="12">
    <mergeCell ref="B135:H135"/>
    <mergeCell ref="A1:I1"/>
    <mergeCell ref="B35:H35"/>
    <mergeCell ref="B75:H75"/>
    <mergeCell ref="B115:H115"/>
    <mergeCell ref="B55:H55"/>
    <mergeCell ref="B95:H95"/>
    <mergeCell ref="B8:I8"/>
    <mergeCell ref="B9:I9"/>
    <mergeCell ref="B10:I10"/>
    <mergeCell ref="B11:I11"/>
    <mergeCell ref="B12:I12"/>
  </mergeCells>
  <pageMargins left="0.7" right="0.7" top="0.75" bottom="0.75" header="0.3" footer="0.3"/>
  <pageSetup scale="81" fitToHeight="0" orientation="landscape" r:id="rId1"/>
  <rowBreaks count="4" manualBreakCount="4">
    <brk id="12" max="16383" man="1"/>
    <brk id="52" max="16383" man="1"/>
    <brk id="92" max="16383" man="1"/>
    <brk id="132" max="16383" man="1"/>
  </rowBreaks>
  <drawing r:id="rId2"/>
  <tableParts count="7">
    <tablePart r:id="rId3"/>
    <tablePart r:id="rId4"/>
    <tablePart r:id="rId5"/>
    <tablePart r:id="rId6"/>
    <tablePart r:id="rId7"/>
    <tablePart r:id="rId8"/>
    <tablePart r:id="rId9"/>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0F53D-7F79-45DB-881E-7ABE73133FEF}">
  <sheetPr>
    <tabColor theme="0" tint="-0.249977111117893"/>
    <pageSetUpPr fitToPage="1"/>
  </sheetPr>
  <dimension ref="A1:I106"/>
  <sheetViews>
    <sheetView showGridLines="0" zoomScale="80" zoomScaleNormal="80" workbookViewId="0">
      <selection activeCell="M60" sqref="M60"/>
    </sheetView>
  </sheetViews>
  <sheetFormatPr defaultColWidth="9.140625" defaultRowHeight="12.75"/>
  <cols>
    <col min="1" max="1" width="21.7109375" style="61" customWidth="1"/>
    <col min="2" max="8" width="15.7109375" style="67" customWidth="1"/>
    <col min="9" max="9" width="21.7109375" style="61" customWidth="1"/>
    <col min="10" max="15" width="9.140625" style="61"/>
    <col min="16" max="16" width="16.140625" style="61" bestFit="1" customWidth="1"/>
    <col min="17" max="16384" width="9.140625" style="61"/>
  </cols>
  <sheetData>
    <row r="1" spans="1:9" ht="15" customHeight="1">
      <c r="A1" s="501" t="s">
        <v>212</v>
      </c>
      <c r="B1" s="501"/>
      <c r="C1" s="501"/>
      <c r="D1" s="501"/>
      <c r="E1" s="501"/>
      <c r="F1" s="501"/>
      <c r="G1" s="501"/>
      <c r="H1" s="501"/>
      <c r="I1" s="501"/>
    </row>
    <row r="2" spans="1:9" ht="15" customHeight="1">
      <c r="A2" s="139" t="s">
        <v>1</v>
      </c>
      <c r="B2" s="63" t="str">
        <f>Project_Name</f>
        <v>Completing the I-95 Missing Move and Quonset Connector Ramps</v>
      </c>
      <c r="I2" s="67"/>
    </row>
    <row r="3" spans="1:9" ht="15" customHeight="1">
      <c r="A3" s="139" t="s">
        <v>2</v>
      </c>
      <c r="B3" s="63" t="s">
        <v>29</v>
      </c>
      <c r="I3" s="67"/>
    </row>
    <row r="4" spans="1:9" ht="15" customHeight="1">
      <c r="A4" s="139" t="s">
        <v>4</v>
      </c>
      <c r="B4" s="64">
        <f>Date</f>
        <v>45159</v>
      </c>
      <c r="I4" s="67"/>
    </row>
    <row r="5" spans="1:9" ht="30" customHeight="1">
      <c r="A5" s="67"/>
      <c r="I5" s="67"/>
    </row>
    <row r="6" spans="1:9">
      <c r="A6" s="67"/>
      <c r="I6" s="67"/>
    </row>
    <row r="7" spans="1:9">
      <c r="A7" s="138"/>
      <c r="B7" s="104"/>
      <c r="C7" s="104"/>
      <c r="D7" s="104"/>
      <c r="E7" s="104"/>
      <c r="F7" s="104"/>
      <c r="G7" s="104"/>
      <c r="H7" s="104"/>
      <c r="I7" s="138"/>
    </row>
    <row r="8" spans="1:9">
      <c r="B8" s="63" t="s">
        <v>213</v>
      </c>
    </row>
    <row r="9" spans="1:9">
      <c r="A9" s="67"/>
      <c r="B9" s="459"/>
      <c r="C9" s="459"/>
      <c r="D9" s="459"/>
      <c r="E9" s="459"/>
      <c r="F9" s="459"/>
      <c r="G9" s="459"/>
      <c r="H9" s="459"/>
    </row>
    <row r="10" spans="1:9" ht="25.5">
      <c r="A10" s="67"/>
      <c r="B10" s="122" t="s">
        <v>183</v>
      </c>
      <c r="C10" s="122" t="s">
        <v>184</v>
      </c>
      <c r="D10" s="122" t="s">
        <v>185</v>
      </c>
      <c r="E10" s="122" t="s">
        <v>186</v>
      </c>
      <c r="F10" s="122" t="s">
        <v>187</v>
      </c>
      <c r="G10" s="122" t="s">
        <v>188</v>
      </c>
      <c r="H10" s="122" t="s">
        <v>189</v>
      </c>
    </row>
    <row r="11" spans="1:9">
      <c r="A11" s="67"/>
      <c r="B11" s="142">
        <v>0.20833333333333334</v>
      </c>
      <c r="C11" s="363">
        <v>15553</v>
      </c>
      <c r="D11" s="363">
        <v>49471.89</v>
      </c>
      <c r="E11" s="363">
        <v>1041.6834166666665</v>
      </c>
      <c r="F11" s="363">
        <v>47.49</v>
      </c>
      <c r="G11" s="363">
        <v>91.875377777777771</v>
      </c>
      <c r="H11" s="364">
        <v>5.9083333333333331E-3</v>
      </c>
    </row>
    <row r="12" spans="1:9">
      <c r="A12" s="67"/>
      <c r="B12" s="142">
        <v>0.25</v>
      </c>
      <c r="C12" s="363">
        <v>7206</v>
      </c>
      <c r="D12" s="363">
        <v>22892</v>
      </c>
      <c r="E12" s="363">
        <v>468.79312222222222</v>
      </c>
      <c r="F12" s="363">
        <v>48.83</v>
      </c>
      <c r="G12" s="363">
        <v>29.370913888888886</v>
      </c>
      <c r="H12" s="364">
        <v>4.0749999999999996E-3</v>
      </c>
    </row>
    <row r="13" spans="1:9">
      <c r="A13" s="67"/>
      <c r="B13" s="142">
        <v>0.29166666666666702</v>
      </c>
      <c r="C13" s="363">
        <v>12329</v>
      </c>
      <c r="D13" s="363">
        <v>40524.25</v>
      </c>
      <c r="E13" s="363">
        <v>830.4652111111111</v>
      </c>
      <c r="F13" s="363">
        <v>48.8</v>
      </c>
      <c r="G13" s="363">
        <v>57.099069444444446</v>
      </c>
      <c r="H13" s="364">
        <v>4.6305555555555562E-3</v>
      </c>
    </row>
    <row r="14" spans="1:9">
      <c r="A14" s="67"/>
      <c r="B14" s="142">
        <v>0.33333333333333298</v>
      </c>
      <c r="C14" s="363">
        <v>20201</v>
      </c>
      <c r="D14" s="363">
        <v>64186.76</v>
      </c>
      <c r="E14" s="363">
        <v>1844.3089416666667</v>
      </c>
      <c r="F14" s="363">
        <v>34.9</v>
      </c>
      <c r="G14" s="363">
        <v>619.60804444444443</v>
      </c>
      <c r="H14" s="364">
        <v>3.0683333333333333E-2</v>
      </c>
    </row>
    <row r="15" spans="1:9">
      <c r="A15" s="67"/>
      <c r="B15" s="142">
        <v>0.375</v>
      </c>
      <c r="C15" s="363">
        <v>18949</v>
      </c>
      <c r="D15" s="363">
        <v>58007.56</v>
      </c>
      <c r="E15" s="363">
        <v>2475.9698583333334</v>
      </c>
      <c r="F15" s="363">
        <v>24.33</v>
      </c>
      <c r="G15" s="363">
        <v>1369.4082833333334</v>
      </c>
      <c r="H15" s="364">
        <v>7.3149999999999993E-2</v>
      </c>
    </row>
    <row r="16" spans="1:9">
      <c r="A16" s="67"/>
      <c r="B16" s="142">
        <v>0.41666666666666702</v>
      </c>
      <c r="C16" s="363">
        <v>16656</v>
      </c>
      <c r="D16" s="363">
        <v>53024.800000000003</v>
      </c>
      <c r="E16" s="363">
        <v>1727.0150083333333</v>
      </c>
      <c r="F16" s="363">
        <v>31.55</v>
      </c>
      <c r="G16" s="363">
        <v>716.62299444444443</v>
      </c>
      <c r="H16" s="364">
        <v>4.2830555555555552E-2</v>
      </c>
    </row>
    <row r="17" spans="1:8">
      <c r="A17" s="67"/>
      <c r="B17" s="142">
        <v>0.45833333333333298</v>
      </c>
      <c r="C17" s="363">
        <v>14737</v>
      </c>
      <c r="D17" s="363">
        <v>48158.79</v>
      </c>
      <c r="E17" s="363">
        <v>1200.5375583333334</v>
      </c>
      <c r="F17" s="363">
        <v>42.09</v>
      </c>
      <c r="G17" s="363">
        <v>283.91049166666664</v>
      </c>
      <c r="H17" s="364">
        <v>1.826111111111111E-2</v>
      </c>
    </row>
    <row r="18" spans="1:8">
      <c r="A18" s="67"/>
      <c r="B18" s="142">
        <v>0.5</v>
      </c>
      <c r="C18" s="363">
        <v>14365</v>
      </c>
      <c r="D18" s="363">
        <v>47428.78</v>
      </c>
      <c r="E18" s="363">
        <v>1077.4354666666668</v>
      </c>
      <c r="F18" s="363">
        <v>45.21</v>
      </c>
      <c r="G18" s="363">
        <v>174.54710277777775</v>
      </c>
      <c r="H18" s="364">
        <v>1.1644444444444445E-2</v>
      </c>
    </row>
    <row r="19" spans="1:8">
      <c r="A19" s="67"/>
      <c r="B19" s="142">
        <v>0.54166666666666696</v>
      </c>
      <c r="C19" s="363">
        <v>15906</v>
      </c>
      <c r="D19" s="363">
        <v>51637.69</v>
      </c>
      <c r="E19" s="363">
        <v>1100.6440611111111</v>
      </c>
      <c r="F19" s="363">
        <v>46.92</v>
      </c>
      <c r="G19" s="363">
        <v>108.388975</v>
      </c>
      <c r="H19" s="364">
        <v>6.8138888888888893E-3</v>
      </c>
    </row>
    <row r="20" spans="1:8">
      <c r="A20" s="67"/>
      <c r="B20" s="142">
        <v>0.58333333333333304</v>
      </c>
      <c r="C20" s="363">
        <v>21382</v>
      </c>
      <c r="D20" s="363">
        <v>67061.210000000006</v>
      </c>
      <c r="E20" s="363">
        <v>1625.6030527777777</v>
      </c>
      <c r="F20" s="363">
        <v>41.28</v>
      </c>
      <c r="G20" s="363">
        <v>337.67983333333331</v>
      </c>
      <c r="H20" s="364">
        <v>1.5797222222222223E-2</v>
      </c>
    </row>
    <row r="21" spans="1:8">
      <c r="A21" s="67"/>
      <c r="B21" s="142">
        <v>0.625</v>
      </c>
      <c r="C21" s="363">
        <v>21890</v>
      </c>
      <c r="D21" s="363">
        <v>68217.91</v>
      </c>
      <c r="E21" s="363">
        <v>2312.0439333333334</v>
      </c>
      <c r="F21" s="363">
        <v>29.64</v>
      </c>
      <c r="G21" s="363">
        <v>1014.3681583333333</v>
      </c>
      <c r="H21" s="364">
        <v>4.6394444444444446E-2</v>
      </c>
    </row>
    <row r="22" spans="1:8">
      <c r="A22" s="67"/>
      <c r="B22" s="142">
        <v>0.66666666666666696</v>
      </c>
      <c r="C22" s="363">
        <v>21166</v>
      </c>
      <c r="D22" s="363">
        <v>60574.51</v>
      </c>
      <c r="E22" s="363">
        <v>3587.5509305555556</v>
      </c>
      <c r="F22" s="363">
        <v>17.03</v>
      </c>
      <c r="G22" s="363">
        <v>2433.1555250000001</v>
      </c>
      <c r="H22" s="364">
        <v>0.11520833333333333</v>
      </c>
    </row>
    <row r="23" spans="1:8">
      <c r="A23" s="67"/>
      <c r="B23" s="142">
        <v>0.70833333333333304</v>
      </c>
      <c r="C23" s="363">
        <v>21696</v>
      </c>
      <c r="D23" s="363">
        <v>61035.02</v>
      </c>
      <c r="E23" s="363">
        <v>3239.9690305555555</v>
      </c>
      <c r="F23" s="363">
        <v>18.940000000000001</v>
      </c>
      <c r="G23" s="363">
        <v>2064.2785666666668</v>
      </c>
      <c r="H23" s="364">
        <v>9.5294444444444446E-2</v>
      </c>
    </row>
    <row r="24" spans="1:8">
      <c r="A24" s="67"/>
      <c r="B24" s="142">
        <v>0.75</v>
      </c>
      <c r="C24" s="363">
        <v>19270</v>
      </c>
      <c r="D24" s="363">
        <v>55069.91</v>
      </c>
      <c r="E24" s="363">
        <v>1991.8347333333334</v>
      </c>
      <c r="F24" s="363">
        <v>27.69</v>
      </c>
      <c r="G24" s="363">
        <v>927.20366666666666</v>
      </c>
      <c r="H24" s="364">
        <v>4.8069444444444449E-2</v>
      </c>
    </row>
    <row r="25" spans="1:8">
      <c r="A25" s="67"/>
      <c r="B25" s="142">
        <v>0.79166666666666663</v>
      </c>
      <c r="C25" s="363">
        <v>13996</v>
      </c>
      <c r="D25" s="363">
        <v>43510.86</v>
      </c>
      <c r="E25" s="363">
        <v>1299.5773638888888</v>
      </c>
      <c r="F25" s="363">
        <v>33.94</v>
      </c>
      <c r="G25" s="363">
        <v>459.59666111111113</v>
      </c>
      <c r="H25" s="364">
        <v>3.2425000000000002E-2</v>
      </c>
    </row>
    <row r="26" spans="1:8">
      <c r="A26" s="67"/>
      <c r="B26" s="130" t="s">
        <v>28</v>
      </c>
      <c r="C26" s="152">
        <f>SUBTOTAL(109,Table3C.1_57TTS_NB[Total Vehicles in Network])</f>
        <v>255302</v>
      </c>
      <c r="D26" s="152">
        <f>SUBTOTAL(109,Table3C.1_57TTS_NB[VMT: Total Path Distance (mi)])</f>
        <v>790801.94000000006</v>
      </c>
      <c r="E26" s="152">
        <f>SUBTOTAL(109,Table3C.1_57TTS_NB[VHT: Total Time in Network (hr)])</f>
        <v>25823.43168888889</v>
      </c>
      <c r="F26" s="152">
        <f>SUBTOTAL(101,Table3C.1_57TTS_NB[Average Speed (mph)])</f>
        <v>35.909333333333322</v>
      </c>
      <c r="G26" s="152">
        <f>SUBTOTAL(109,Table3C.1_57TTS_NB[Total Delay (hr)])</f>
        <v>10687.113663888887</v>
      </c>
      <c r="H26" s="152">
        <f>SUBTOTAL(101,Table3C.1_57TTS_NB[Average Delay (hr/veh)])</f>
        <v>3.6745740740740752E-2</v>
      </c>
    </row>
    <row r="27" spans="1:8">
      <c r="A27" s="67"/>
    </row>
    <row r="28" spans="1:8">
      <c r="A28" s="67"/>
      <c r="B28" s="121" t="s">
        <v>214</v>
      </c>
      <c r="C28" s="89"/>
      <c r="D28" s="89"/>
      <c r="E28" s="89"/>
      <c r="F28" s="89"/>
      <c r="G28" s="89"/>
      <c r="H28" s="89"/>
    </row>
    <row r="29" spans="1:8" ht="12.75" customHeight="1">
      <c r="A29" s="67"/>
      <c r="B29" s="459"/>
      <c r="C29" s="459"/>
      <c r="D29" s="459"/>
      <c r="E29" s="459"/>
      <c r="F29" s="459"/>
      <c r="G29" s="459"/>
      <c r="H29" s="459"/>
    </row>
    <row r="30" spans="1:8" ht="25.5">
      <c r="A30" s="67"/>
      <c r="B30" s="122" t="s">
        <v>183</v>
      </c>
      <c r="C30" s="122" t="s">
        <v>191</v>
      </c>
      <c r="D30" s="84" t="s">
        <v>192</v>
      </c>
      <c r="E30" s="122" t="s">
        <v>193</v>
      </c>
      <c r="F30" s="122" t="s">
        <v>194</v>
      </c>
      <c r="G30" s="122" t="s">
        <v>195</v>
      </c>
      <c r="H30" s="122" t="s">
        <v>196</v>
      </c>
    </row>
    <row r="31" spans="1:8">
      <c r="A31" s="67"/>
      <c r="B31" s="142">
        <v>0.20833333333333334</v>
      </c>
      <c r="C31" s="156">
        <v>0.94</v>
      </c>
      <c r="D31" s="156">
        <v>0.06</v>
      </c>
      <c r="E31" s="157">
        <f>C11*Table3C.2_57_Delay_NB[[#This Row],[Car Traffic Share]]</f>
        <v>14619.82</v>
      </c>
      <c r="F31" s="157">
        <f>H11*Table3C.2_57_Delay_NB[[#This Row],[Car Traffic]]</f>
        <v>86.378769833333322</v>
      </c>
      <c r="G31" s="157">
        <f>C11*Table3C.2_57_Delay_NB[[#This Row],[Truck Traffic Share]]</f>
        <v>933.18</v>
      </c>
      <c r="H31" s="157">
        <f>H11*Table3C.2_57_Delay_NB[[#This Row],[Truck Traffic]]</f>
        <v>5.5135384999999992</v>
      </c>
    </row>
    <row r="32" spans="1:8">
      <c r="A32" s="67"/>
      <c r="B32" s="142">
        <v>0.25</v>
      </c>
      <c r="C32" s="156">
        <v>0.94</v>
      </c>
      <c r="D32" s="156">
        <v>0.06</v>
      </c>
      <c r="E32" s="157">
        <f>C12*Table3C.2_57_Delay_NB[[#This Row],[Car Traffic Share]]</f>
        <v>6773.6399999999994</v>
      </c>
      <c r="F32" s="157">
        <f>H12*Table3C.2_57_Delay_NB[[#This Row],[Car Traffic]]</f>
        <v>27.602582999999996</v>
      </c>
      <c r="G32" s="157">
        <f>C12*Table3C.2_57_Delay_NB[[#This Row],[Truck Traffic Share]]</f>
        <v>432.35999999999996</v>
      </c>
      <c r="H32" s="157">
        <f>H12*Table3C.2_57_Delay_NB[[#This Row],[Truck Traffic]]</f>
        <v>1.7618669999999996</v>
      </c>
    </row>
    <row r="33" spans="1:8">
      <c r="A33" s="67"/>
      <c r="B33" s="142">
        <v>0.29166666666666702</v>
      </c>
      <c r="C33" s="156">
        <v>0.94</v>
      </c>
      <c r="D33" s="156">
        <v>0.06</v>
      </c>
      <c r="E33" s="157">
        <f>C13*Table3C.2_57_Delay_NB[[#This Row],[Car Traffic Share]]</f>
        <v>11589.26</v>
      </c>
      <c r="F33" s="157">
        <f>H13*Table3C.2_57_Delay_NB[[#This Row],[Car Traffic]]</f>
        <v>53.664712277777788</v>
      </c>
      <c r="G33" s="157">
        <f>C13*Table3C.2_57_Delay_NB[[#This Row],[Truck Traffic Share]]</f>
        <v>739.74</v>
      </c>
      <c r="H33" s="157">
        <f>H13*Table3C.2_57_Delay_NB[[#This Row],[Truck Traffic]]</f>
        <v>3.425407166666667</v>
      </c>
    </row>
    <row r="34" spans="1:8">
      <c r="A34" s="67"/>
      <c r="B34" s="142">
        <v>0.33333333333333298</v>
      </c>
      <c r="C34" s="156">
        <v>0.94</v>
      </c>
      <c r="D34" s="156">
        <v>0.06</v>
      </c>
      <c r="E34" s="157">
        <f>C14*Table3C.2_57_Delay_NB[[#This Row],[Car Traffic Share]]</f>
        <v>18988.939999999999</v>
      </c>
      <c r="F34" s="157">
        <f>H14*Table3C.2_57_Delay_NB[[#This Row],[Car Traffic]]</f>
        <v>582.64397566666662</v>
      </c>
      <c r="G34" s="157">
        <f>C14*Table3C.2_57_Delay_NB[[#This Row],[Truck Traffic Share]]</f>
        <v>1212.06</v>
      </c>
      <c r="H34" s="157">
        <f>H14*Table3C.2_57_Delay_NB[[#This Row],[Truck Traffic]]</f>
        <v>37.190041000000001</v>
      </c>
    </row>
    <row r="35" spans="1:8">
      <c r="A35" s="67"/>
      <c r="B35" s="142">
        <v>0.375</v>
      </c>
      <c r="C35" s="156">
        <v>0.94</v>
      </c>
      <c r="D35" s="156">
        <v>0.06</v>
      </c>
      <c r="E35" s="157">
        <f>C15*Table3C.2_57_Delay_NB[[#This Row],[Car Traffic Share]]</f>
        <v>17812.059999999998</v>
      </c>
      <c r="F35" s="157">
        <f>H15*Table3C.2_57_Delay_NB[[#This Row],[Car Traffic]]</f>
        <v>1302.9521889999996</v>
      </c>
      <c r="G35" s="157">
        <f>C15*Table3C.2_57_Delay_NB[[#This Row],[Truck Traffic Share]]</f>
        <v>1136.94</v>
      </c>
      <c r="H35" s="157">
        <f>H15*Table3C.2_57_Delay_NB[[#This Row],[Truck Traffic]]</f>
        <v>83.167160999999993</v>
      </c>
    </row>
    <row r="36" spans="1:8">
      <c r="A36" s="67"/>
      <c r="B36" s="142">
        <v>0.41666666666666702</v>
      </c>
      <c r="C36" s="156">
        <v>0.94</v>
      </c>
      <c r="D36" s="156">
        <v>0.06</v>
      </c>
      <c r="E36" s="157">
        <f>C16*Table3C.2_57_Delay_NB[[#This Row],[Car Traffic Share]]</f>
        <v>15656.64</v>
      </c>
      <c r="F36" s="157">
        <f>H16*Table3C.2_57_Delay_NB[[#This Row],[Car Traffic]]</f>
        <v>670.5825893333332</v>
      </c>
      <c r="G36" s="157">
        <f>C16*Table3C.2_57_Delay_NB[[#This Row],[Truck Traffic Share]]</f>
        <v>999.36</v>
      </c>
      <c r="H36" s="157">
        <f>H16*Table3C.2_57_Delay_NB[[#This Row],[Truck Traffic]]</f>
        <v>42.803143999999996</v>
      </c>
    </row>
    <row r="37" spans="1:8">
      <c r="A37" s="67"/>
      <c r="B37" s="142">
        <v>0.45833333333333298</v>
      </c>
      <c r="C37" s="156">
        <v>0.94</v>
      </c>
      <c r="D37" s="156">
        <v>0.06</v>
      </c>
      <c r="E37" s="157">
        <f>C17*Table3C.2_57_Delay_NB[[#This Row],[Car Traffic Share]]</f>
        <v>13852.779999999999</v>
      </c>
      <c r="F37" s="157">
        <f>H17*Table3C.2_57_Delay_NB[[#This Row],[Car Traffic]]</f>
        <v>252.96715477777775</v>
      </c>
      <c r="G37" s="157">
        <f>C17*Table3C.2_57_Delay_NB[[#This Row],[Truck Traffic Share]]</f>
        <v>884.21999999999991</v>
      </c>
      <c r="H37" s="157">
        <f>H17*Table3C.2_57_Delay_NB[[#This Row],[Truck Traffic]]</f>
        <v>16.146839666666665</v>
      </c>
    </row>
    <row r="38" spans="1:8">
      <c r="A38" s="67"/>
      <c r="B38" s="142">
        <v>0.5</v>
      </c>
      <c r="C38" s="156">
        <v>0.94</v>
      </c>
      <c r="D38" s="156">
        <v>0.06</v>
      </c>
      <c r="E38" s="157">
        <f>C18*Table3C.2_57_Delay_NB[[#This Row],[Car Traffic Share]]</f>
        <v>13503.099999999999</v>
      </c>
      <c r="F38" s="157">
        <f>H18*Table3C.2_57_Delay_NB[[#This Row],[Car Traffic]]</f>
        <v>157.23609777777776</v>
      </c>
      <c r="G38" s="157">
        <f>C18*Table3C.2_57_Delay_NB[[#This Row],[Truck Traffic Share]]</f>
        <v>861.9</v>
      </c>
      <c r="H38" s="157">
        <f>H18*Table3C.2_57_Delay_NB[[#This Row],[Truck Traffic]]</f>
        <v>10.036346666666667</v>
      </c>
    </row>
    <row r="39" spans="1:8">
      <c r="A39" s="67"/>
      <c r="B39" s="142">
        <v>0.54166666666666696</v>
      </c>
      <c r="C39" s="156">
        <v>0.94</v>
      </c>
      <c r="D39" s="156">
        <v>0.06</v>
      </c>
      <c r="E39" s="157">
        <f>C19*Table3C.2_57_Delay_NB[[#This Row],[Car Traffic Share]]</f>
        <v>14951.64</v>
      </c>
      <c r="F39" s="157">
        <f>H19*Table3C.2_57_Delay_NB[[#This Row],[Car Traffic]]</f>
        <v>101.87881366666667</v>
      </c>
      <c r="G39" s="157">
        <f>C19*Table3C.2_57_Delay_NB[[#This Row],[Truck Traffic Share]]</f>
        <v>954.36</v>
      </c>
      <c r="H39" s="157">
        <f>H19*Table3C.2_57_Delay_NB[[#This Row],[Truck Traffic]]</f>
        <v>6.5029030000000008</v>
      </c>
    </row>
    <row r="40" spans="1:8">
      <c r="A40" s="67"/>
      <c r="B40" s="142">
        <v>0.58333333333333304</v>
      </c>
      <c r="C40" s="156">
        <v>0.94</v>
      </c>
      <c r="D40" s="156">
        <v>0.06</v>
      </c>
      <c r="E40" s="157">
        <f>C20*Table3C.2_57_Delay_NB[[#This Row],[Car Traffic Share]]</f>
        <v>20099.079999999998</v>
      </c>
      <c r="F40" s="157">
        <f>H20*Table3C.2_57_Delay_NB[[#This Row],[Car Traffic]]</f>
        <v>317.50963322222219</v>
      </c>
      <c r="G40" s="157">
        <f>C20*Table3C.2_57_Delay_NB[[#This Row],[Truck Traffic Share]]</f>
        <v>1282.9199999999998</v>
      </c>
      <c r="H40" s="157">
        <f>H20*Table3C.2_57_Delay_NB[[#This Row],[Truck Traffic]]</f>
        <v>20.266572333333333</v>
      </c>
    </row>
    <row r="41" spans="1:8">
      <c r="A41" s="67"/>
      <c r="B41" s="142">
        <v>0.625</v>
      </c>
      <c r="C41" s="156">
        <v>0.94</v>
      </c>
      <c r="D41" s="156">
        <v>0.06</v>
      </c>
      <c r="E41" s="157">
        <f>C21*Table3C.2_57_Delay_NB[[#This Row],[Car Traffic Share]]</f>
        <v>20576.599999999999</v>
      </c>
      <c r="F41" s="157">
        <f>H21*Table3C.2_57_Delay_NB[[#This Row],[Car Traffic]]</f>
        <v>954.63992555555558</v>
      </c>
      <c r="G41" s="157">
        <f>C21*Table3C.2_57_Delay_NB[[#This Row],[Truck Traffic Share]]</f>
        <v>1313.3999999999999</v>
      </c>
      <c r="H41" s="157">
        <f>H21*Table3C.2_57_Delay_NB[[#This Row],[Truck Traffic]]</f>
        <v>60.934463333333326</v>
      </c>
    </row>
    <row r="42" spans="1:8">
      <c r="A42" s="67"/>
      <c r="B42" s="142">
        <v>0.66666666666666696</v>
      </c>
      <c r="C42" s="156">
        <v>0.94</v>
      </c>
      <c r="D42" s="156">
        <v>0.06</v>
      </c>
      <c r="E42" s="157">
        <f>C22*Table3C.2_57_Delay_NB[[#This Row],[Car Traffic Share]]</f>
        <v>19896.039999999997</v>
      </c>
      <c r="F42" s="157">
        <f>H22*Table3C.2_57_Delay_NB[[#This Row],[Car Traffic]]</f>
        <v>2292.1896083333331</v>
      </c>
      <c r="G42" s="157">
        <f>C22*Table3C.2_57_Delay_NB[[#This Row],[Truck Traffic Share]]</f>
        <v>1269.96</v>
      </c>
      <c r="H42" s="157">
        <f>H22*Table3C.2_57_Delay_NB[[#This Row],[Truck Traffic]]</f>
        <v>146.30997500000001</v>
      </c>
    </row>
    <row r="43" spans="1:8">
      <c r="A43" s="67"/>
      <c r="B43" s="142">
        <v>0.70833333333333304</v>
      </c>
      <c r="C43" s="156">
        <v>0.94</v>
      </c>
      <c r="D43" s="156">
        <v>0.06</v>
      </c>
      <c r="E43" s="157">
        <f>C23*Table3C.2_57_Delay_NB[[#This Row],[Car Traffic Share]]</f>
        <v>20394.239999999998</v>
      </c>
      <c r="F43" s="157">
        <f>H23*Table3C.2_57_Delay_NB[[#This Row],[Car Traffic]]</f>
        <v>1943.4577706666664</v>
      </c>
      <c r="G43" s="157">
        <f>C23*Table3C.2_57_Delay_NB[[#This Row],[Truck Traffic Share]]</f>
        <v>1301.76</v>
      </c>
      <c r="H43" s="157">
        <f>H23*Table3C.2_57_Delay_NB[[#This Row],[Truck Traffic]]</f>
        <v>124.050496</v>
      </c>
    </row>
    <row r="44" spans="1:8">
      <c r="A44" s="67"/>
      <c r="B44" s="142">
        <v>0.75</v>
      </c>
      <c r="C44" s="156">
        <v>0.94</v>
      </c>
      <c r="D44" s="156">
        <v>0.06</v>
      </c>
      <c r="E44" s="157">
        <f>C24*Table3C.2_57_Delay_NB[[#This Row],[Car Traffic Share]]</f>
        <v>18113.8</v>
      </c>
      <c r="F44" s="157">
        <f>H24*Table3C.2_57_Delay_NB[[#This Row],[Car Traffic]]</f>
        <v>870.72030277777787</v>
      </c>
      <c r="G44" s="157">
        <f>C24*Table3C.2_57_Delay_NB[[#This Row],[Truck Traffic Share]]</f>
        <v>1156.2</v>
      </c>
      <c r="H44" s="157">
        <f>H24*Table3C.2_57_Delay_NB[[#This Row],[Truck Traffic]]</f>
        <v>55.577891666666673</v>
      </c>
    </row>
    <row r="45" spans="1:8" ht="13.5" thickBot="1">
      <c r="A45" s="67"/>
      <c r="B45" s="142">
        <v>0.79166666666666663</v>
      </c>
      <c r="C45" s="158">
        <v>0.94</v>
      </c>
      <c r="D45" s="158">
        <v>0.06</v>
      </c>
      <c r="E45" s="161">
        <f>C25*Table3C.2_57_Delay_NB[[#This Row],[Car Traffic Share]]</f>
        <v>13156.24</v>
      </c>
      <c r="F45" s="161">
        <f>H25*Table3C.2_57_Delay_NB[[#This Row],[Car Traffic]]</f>
        <v>426.59108200000003</v>
      </c>
      <c r="G45" s="161">
        <f>C25*Table3C.2_57_Delay_NB[[#This Row],[Truck Traffic Share]]</f>
        <v>839.76</v>
      </c>
      <c r="H45" s="161">
        <f>H25*Table3C.2_57_Delay_NB[[#This Row],[Truck Traffic]]</f>
        <v>27.229218000000003</v>
      </c>
    </row>
    <row r="46" spans="1:8" ht="13.5" thickTop="1">
      <c r="A46" s="67"/>
      <c r="B46" s="90" t="s">
        <v>28</v>
      </c>
      <c r="C46" s="81"/>
      <c r="D46" s="81"/>
      <c r="E46" s="153">
        <f>SUBTOTAL(109,Table3C.2_57_Delay_NB[Car Traffic])</f>
        <v>239983.87999999998</v>
      </c>
      <c r="F46" s="153">
        <f>SUBTOTAL(109,Table3C.2_57_Delay_NB[Car Delay 
(hrs)])</f>
        <v>10041.015207888888</v>
      </c>
      <c r="G46" s="153">
        <f>SUBTOTAL(109,Table3C.2_57_Delay_NB[Truck Traffic])</f>
        <v>15318.119999999999</v>
      </c>
      <c r="H46" s="153">
        <f>SUBTOTAL(109,Table3C.2_57_Delay_NB[Truck Delay (hrs)])</f>
        <v>640.91586433333327</v>
      </c>
    </row>
    <row r="47" spans="1:8">
      <c r="A47" s="67"/>
      <c r="C47" s="91"/>
      <c r="D47" s="90"/>
      <c r="E47" s="143"/>
      <c r="F47" s="144"/>
      <c r="G47" s="144"/>
      <c r="H47" s="144"/>
    </row>
    <row r="48" spans="1:8">
      <c r="A48" s="67"/>
      <c r="B48" s="63" t="s">
        <v>215</v>
      </c>
    </row>
    <row r="49" spans="1:8">
      <c r="A49" s="67"/>
      <c r="B49" s="459"/>
      <c r="C49" s="459"/>
      <c r="D49" s="459"/>
      <c r="E49" s="459"/>
      <c r="F49" s="459"/>
      <c r="G49" s="459"/>
      <c r="H49" s="459"/>
    </row>
    <row r="50" spans="1:8" ht="38.25">
      <c r="A50" s="67"/>
      <c r="B50" s="122" t="s">
        <v>183</v>
      </c>
      <c r="C50" s="122" t="s">
        <v>200</v>
      </c>
      <c r="D50" s="122" t="s">
        <v>185</v>
      </c>
      <c r="E50" s="122" t="s">
        <v>201</v>
      </c>
      <c r="F50" s="122" t="s">
        <v>187</v>
      </c>
      <c r="G50" s="122" t="s">
        <v>202</v>
      </c>
      <c r="H50" s="122" t="s">
        <v>203</v>
      </c>
    </row>
    <row r="51" spans="1:8">
      <c r="A51" s="67"/>
      <c r="B51" s="142">
        <v>0.20833333333333334</v>
      </c>
      <c r="C51" s="363">
        <v>15563</v>
      </c>
      <c r="D51" s="363">
        <v>49747.93</v>
      </c>
      <c r="E51" s="363">
        <v>1045.8663888888889</v>
      </c>
      <c r="F51" s="363">
        <v>47.57</v>
      </c>
      <c r="G51" s="363">
        <v>94.841758333333331</v>
      </c>
      <c r="H51" s="364">
        <v>6.0944444444444449E-3</v>
      </c>
    </row>
    <row r="52" spans="1:8">
      <c r="A52" s="67"/>
      <c r="B52" s="142">
        <v>0.25</v>
      </c>
      <c r="C52" s="363">
        <v>7206</v>
      </c>
      <c r="D52" s="363">
        <v>22337.81</v>
      </c>
      <c r="E52" s="363">
        <v>459.57088611111112</v>
      </c>
      <c r="F52" s="363">
        <v>48.61</v>
      </c>
      <c r="G52" s="363">
        <v>30.961191666666664</v>
      </c>
      <c r="H52" s="364">
        <v>4.2972222222222222E-3</v>
      </c>
    </row>
    <row r="53" spans="1:8">
      <c r="A53" s="67"/>
      <c r="B53" s="142">
        <v>0.29166666666666702</v>
      </c>
      <c r="C53" s="363">
        <v>12326</v>
      </c>
      <c r="D53" s="363">
        <v>40988.480000000003</v>
      </c>
      <c r="E53" s="363">
        <v>835.47260833333337</v>
      </c>
      <c r="F53" s="363">
        <v>49.06</v>
      </c>
      <c r="G53" s="363">
        <v>56.801652777777782</v>
      </c>
      <c r="H53" s="364">
        <v>4.6083333333333332E-3</v>
      </c>
    </row>
    <row r="54" spans="1:8">
      <c r="A54" s="67"/>
      <c r="B54" s="142">
        <v>0.33333333333333298</v>
      </c>
      <c r="C54" s="363">
        <v>20244</v>
      </c>
      <c r="D54" s="363">
        <v>65432.37</v>
      </c>
      <c r="E54" s="363">
        <v>1768.3962472222222</v>
      </c>
      <c r="F54" s="363">
        <v>37.04</v>
      </c>
      <c r="G54" s="363">
        <v>523.87123055555548</v>
      </c>
      <c r="H54" s="364">
        <v>2.5880555555555556E-2</v>
      </c>
    </row>
    <row r="55" spans="1:8">
      <c r="A55" s="67"/>
      <c r="B55" s="142">
        <v>0.375</v>
      </c>
      <c r="C55" s="363">
        <v>19247</v>
      </c>
      <c r="D55" s="363">
        <v>61579.24</v>
      </c>
      <c r="E55" s="363">
        <v>1910.0721583333332</v>
      </c>
      <c r="F55" s="363">
        <v>32.24</v>
      </c>
      <c r="G55" s="363">
        <v>740.76661666666666</v>
      </c>
      <c r="H55" s="364">
        <v>3.8491666666666667E-2</v>
      </c>
    </row>
    <row r="56" spans="1:8">
      <c r="A56" s="67"/>
      <c r="B56" s="142">
        <v>0.41666666666666702</v>
      </c>
      <c r="C56" s="363">
        <v>16148</v>
      </c>
      <c r="D56" s="363">
        <v>53624.89</v>
      </c>
      <c r="E56" s="363">
        <v>1445.092536111111</v>
      </c>
      <c r="F56" s="363">
        <v>37.31</v>
      </c>
      <c r="G56" s="363">
        <v>428.6699083333333</v>
      </c>
      <c r="H56" s="364">
        <v>2.6480555555555556E-2</v>
      </c>
    </row>
    <row r="57" spans="1:8">
      <c r="A57" s="67"/>
      <c r="B57" s="142">
        <v>0.45833333333333298</v>
      </c>
      <c r="C57" s="363">
        <v>13988</v>
      </c>
      <c r="D57" s="363">
        <v>46500.6</v>
      </c>
      <c r="E57" s="363">
        <v>951.10419166666668</v>
      </c>
      <c r="F57" s="363">
        <v>48.89</v>
      </c>
      <c r="G57" s="363">
        <v>68.506238888888888</v>
      </c>
      <c r="H57" s="364">
        <v>4.8944444444444443E-3</v>
      </c>
    </row>
    <row r="58" spans="1:8">
      <c r="A58" s="67"/>
      <c r="B58" s="142">
        <v>0.5</v>
      </c>
      <c r="C58" s="363">
        <v>13986</v>
      </c>
      <c r="D58" s="363">
        <v>46797.63</v>
      </c>
      <c r="E58" s="363">
        <v>954.92332222222217</v>
      </c>
      <c r="F58" s="363">
        <v>49.01</v>
      </c>
      <c r="G58" s="363">
        <v>67.217588888888898</v>
      </c>
      <c r="H58" s="364">
        <v>4.805555555555556E-3</v>
      </c>
    </row>
    <row r="59" spans="1:8">
      <c r="A59" s="67"/>
      <c r="B59" s="142">
        <v>0.54166666666666696</v>
      </c>
      <c r="C59" s="363">
        <v>15906</v>
      </c>
      <c r="D59" s="363">
        <v>51268.14</v>
      </c>
      <c r="E59" s="363">
        <v>1087.1434583333335</v>
      </c>
      <c r="F59" s="363">
        <v>47.16</v>
      </c>
      <c r="G59" s="363">
        <v>105.95208333333333</v>
      </c>
      <c r="H59" s="364">
        <v>6.6611111111111116E-3</v>
      </c>
    </row>
    <row r="60" spans="1:8">
      <c r="A60" s="67"/>
      <c r="B60" s="142">
        <v>0.58333333333333304</v>
      </c>
      <c r="C60" s="363">
        <v>21697</v>
      </c>
      <c r="D60" s="363">
        <v>67950.27</v>
      </c>
      <c r="E60" s="363">
        <v>1553.0457722222222</v>
      </c>
      <c r="F60" s="363">
        <v>43.8</v>
      </c>
      <c r="G60" s="363">
        <v>250.10879722222222</v>
      </c>
      <c r="H60" s="364">
        <v>1.1522222222222222E-2</v>
      </c>
    </row>
    <row r="61" spans="1:8">
      <c r="A61" s="67"/>
      <c r="B61" s="142">
        <v>0.625</v>
      </c>
      <c r="C61" s="363">
        <v>22748</v>
      </c>
      <c r="D61" s="363">
        <v>70210.100000000006</v>
      </c>
      <c r="E61" s="363">
        <v>2051.1818333333331</v>
      </c>
      <c r="F61" s="363">
        <v>35.21</v>
      </c>
      <c r="G61" s="363">
        <v>709.00165277777785</v>
      </c>
      <c r="H61" s="364">
        <v>3.1608333333333336E-2</v>
      </c>
    </row>
    <row r="62" spans="1:8">
      <c r="A62" s="67"/>
      <c r="B62" s="142">
        <v>0.66666666666666696</v>
      </c>
      <c r="C62" s="363">
        <v>23312</v>
      </c>
      <c r="D62" s="363">
        <v>71182.61</v>
      </c>
      <c r="E62" s="363">
        <v>2437.0645583333335</v>
      </c>
      <c r="F62" s="363">
        <v>29.27</v>
      </c>
      <c r="G62" s="363">
        <v>1079.4363222222221</v>
      </c>
      <c r="H62" s="364">
        <v>4.6308333333333333E-2</v>
      </c>
    </row>
    <row r="63" spans="1:8">
      <c r="A63" s="67"/>
      <c r="B63" s="142">
        <v>0.70833333333333304</v>
      </c>
      <c r="C63" s="363">
        <v>22061</v>
      </c>
      <c r="D63" s="363">
        <v>66487.55</v>
      </c>
      <c r="E63" s="363">
        <v>2189.9803861111109</v>
      </c>
      <c r="F63" s="363">
        <v>30.4</v>
      </c>
      <c r="G63" s="363">
        <v>915.70292222222224</v>
      </c>
      <c r="H63" s="364">
        <v>4.1486111111111112E-2</v>
      </c>
    </row>
    <row r="64" spans="1:8">
      <c r="A64" s="67"/>
      <c r="B64" s="142">
        <v>0.75</v>
      </c>
      <c r="C64" s="363">
        <v>16129</v>
      </c>
      <c r="D64" s="363">
        <v>49077.39</v>
      </c>
      <c r="E64" s="363">
        <v>1251.4591694444443</v>
      </c>
      <c r="F64" s="363">
        <v>39.729999999999997</v>
      </c>
      <c r="G64" s="363">
        <v>308.49573611111106</v>
      </c>
      <c r="H64" s="364">
        <v>1.8802777777777776E-2</v>
      </c>
    </row>
    <row r="65" spans="1:8">
      <c r="A65" s="67"/>
      <c r="B65" s="142">
        <v>0.79166666666666663</v>
      </c>
      <c r="C65" s="363">
        <v>10435</v>
      </c>
      <c r="D65" s="363">
        <v>32192.3</v>
      </c>
      <c r="E65" s="363">
        <v>672.95961388888884</v>
      </c>
      <c r="F65" s="363">
        <v>48</v>
      </c>
      <c r="G65" s="363">
        <v>57.483130555555555</v>
      </c>
      <c r="H65" s="364">
        <v>5.4083333333333327E-3</v>
      </c>
    </row>
    <row r="66" spans="1:8">
      <c r="A66" s="67"/>
      <c r="B66" s="130" t="s">
        <v>28</v>
      </c>
      <c r="C66" s="152">
        <f>SUBTOTAL(109,Table3C.3_57TTS_PA[Total Vehicles Traveling Within the Network])</f>
        <v>250996</v>
      </c>
      <c r="D66" s="152">
        <f>SUBTOTAL(109,Table3C.3_57TTS_PA[VMT: Total Path Distance (mi)])</f>
        <v>795377.31</v>
      </c>
      <c r="E66" s="152">
        <f>SUBTOTAL(109,Table3C.3_57TTS_PA[VHT: Total Time Within the Network (hr)])</f>
        <v>20613.333130555555</v>
      </c>
      <c r="F66" s="152">
        <f>SUBTOTAL(101,Table3C.3_57TTS_PA[Average Speed (mph)])</f>
        <v>41.553333333333327</v>
      </c>
      <c r="G66" s="152">
        <f>SUBTOTAL(109,Table3C.3_57TTS_PA[Total Delay: All Vehicles (hr)])</f>
        <v>5437.8168305555555</v>
      </c>
      <c r="H66" s="152">
        <f>SUBTOTAL(101,Table3C.3_57TTS_PA[Average Delay: Per Vehicle (hr/veh)])</f>
        <v>1.8490000000000003E-2</v>
      </c>
    </row>
    <row r="67" spans="1:8">
      <c r="A67" s="67"/>
    </row>
    <row r="68" spans="1:8" ht="13.5" customHeight="1">
      <c r="A68" s="67"/>
      <c r="B68" s="63" t="s">
        <v>216</v>
      </c>
    </row>
    <row r="69" spans="1:8">
      <c r="A69" s="67"/>
      <c r="B69" s="459"/>
      <c r="C69" s="459"/>
      <c r="D69" s="459"/>
      <c r="E69" s="459"/>
      <c r="F69" s="459"/>
      <c r="G69" s="459"/>
      <c r="H69" s="459"/>
    </row>
    <row r="70" spans="1:8" ht="25.5">
      <c r="A70" s="67"/>
      <c r="B70" s="122" t="s">
        <v>183</v>
      </c>
      <c r="C70" s="122" t="s">
        <v>191</v>
      </c>
      <c r="D70" s="84" t="s">
        <v>192</v>
      </c>
      <c r="E70" s="122" t="s">
        <v>193</v>
      </c>
      <c r="F70" s="122" t="s">
        <v>194</v>
      </c>
      <c r="G70" s="122" t="s">
        <v>195</v>
      </c>
      <c r="H70" s="122" t="s">
        <v>196</v>
      </c>
    </row>
    <row r="71" spans="1:8">
      <c r="A71" s="67"/>
      <c r="B71" s="142">
        <v>0.20833333333333334</v>
      </c>
      <c r="C71" s="156">
        <v>0.94</v>
      </c>
      <c r="D71" s="156">
        <v>0.06</v>
      </c>
      <c r="E71" s="157">
        <f>C51*Table3C.4_57Delay_PA[[#This Row],[Car Traffic Share]]</f>
        <v>14629.22</v>
      </c>
      <c r="F71" s="157">
        <f>H51*Table3C.4_57Delay_PA[[#This Row],[Car Traffic]]</f>
        <v>89.156968555555551</v>
      </c>
      <c r="G71" s="157">
        <f>C51*Table3C.4_57Delay_PA[[#This Row],[Truck Traffic Share]]</f>
        <v>933.78</v>
      </c>
      <c r="H71" s="157">
        <f>H51*Table3C.4_57Delay_PA[[#This Row],[Truck Traffic]]</f>
        <v>5.6908703333333337</v>
      </c>
    </row>
    <row r="72" spans="1:8">
      <c r="A72" s="67"/>
      <c r="B72" s="142">
        <v>0.25</v>
      </c>
      <c r="C72" s="156">
        <v>0.94</v>
      </c>
      <c r="D72" s="156">
        <v>0.06</v>
      </c>
      <c r="E72" s="157">
        <f>C52*Table3C.4_57Delay_PA[[#This Row],[Car Traffic Share]]</f>
        <v>6773.6399999999994</v>
      </c>
      <c r="F72" s="157">
        <f>H52*Table3C.4_57Delay_PA[[#This Row],[Car Traffic]]</f>
        <v>29.107836333333331</v>
      </c>
      <c r="G72" s="157">
        <f>C52*Table3C.4_57Delay_PA[[#This Row],[Truck Traffic Share]]</f>
        <v>432.35999999999996</v>
      </c>
      <c r="H72" s="157">
        <f>H52*Table3C.4_57Delay_PA[[#This Row],[Truck Traffic]]</f>
        <v>1.8579469999999998</v>
      </c>
    </row>
    <row r="73" spans="1:8">
      <c r="A73" s="67"/>
      <c r="B73" s="142">
        <v>0.29166666666666702</v>
      </c>
      <c r="C73" s="156">
        <v>0.94</v>
      </c>
      <c r="D73" s="156">
        <v>0.06</v>
      </c>
      <c r="E73" s="157">
        <f>C53*Table3C.4_57Delay_PA[[#This Row],[Car Traffic Share]]</f>
        <v>11586.439999999999</v>
      </c>
      <c r="F73" s="157">
        <f>H53*Table3C.4_57Delay_PA[[#This Row],[Car Traffic]]</f>
        <v>53.394177666666657</v>
      </c>
      <c r="G73" s="157">
        <f>C53*Table3C.4_57Delay_PA[[#This Row],[Truck Traffic Share]]</f>
        <v>739.56</v>
      </c>
      <c r="H73" s="157">
        <f>H53*Table3C.4_57Delay_PA[[#This Row],[Truck Traffic]]</f>
        <v>3.4081389999999998</v>
      </c>
    </row>
    <row r="74" spans="1:8">
      <c r="A74" s="67"/>
      <c r="B74" s="142">
        <v>0.33333333333333298</v>
      </c>
      <c r="C74" s="156">
        <v>0.94</v>
      </c>
      <c r="D74" s="156">
        <v>0.06</v>
      </c>
      <c r="E74" s="157">
        <f>C54*Table3C.4_57Delay_PA[[#This Row],[Car Traffic Share]]</f>
        <v>19029.36</v>
      </c>
      <c r="F74" s="157">
        <f>H54*Table3C.4_57Delay_PA[[#This Row],[Car Traffic]]</f>
        <v>492.49040866666667</v>
      </c>
      <c r="G74" s="157">
        <f>C54*Table3C.4_57Delay_PA[[#This Row],[Truck Traffic Share]]</f>
        <v>1214.6399999999999</v>
      </c>
      <c r="H74" s="157">
        <f>H54*Table3C.4_57Delay_PA[[#This Row],[Truck Traffic]]</f>
        <v>31.435557999999997</v>
      </c>
    </row>
    <row r="75" spans="1:8">
      <c r="A75" s="67"/>
      <c r="B75" s="142">
        <v>0.375</v>
      </c>
      <c r="C75" s="156">
        <v>0.94</v>
      </c>
      <c r="D75" s="156">
        <v>0.06</v>
      </c>
      <c r="E75" s="157">
        <f>C55*Table3C.4_57Delay_PA[[#This Row],[Car Traffic Share]]</f>
        <v>18092.18</v>
      </c>
      <c r="F75" s="157">
        <f>H55*Table3C.4_57Delay_PA[[#This Row],[Car Traffic]]</f>
        <v>696.39816183333335</v>
      </c>
      <c r="G75" s="157">
        <f>C55*Table3C.4_57Delay_PA[[#This Row],[Truck Traffic Share]]</f>
        <v>1154.82</v>
      </c>
      <c r="H75" s="157">
        <f>H55*Table3C.4_57Delay_PA[[#This Row],[Truck Traffic]]</f>
        <v>44.450946500000001</v>
      </c>
    </row>
    <row r="76" spans="1:8">
      <c r="A76" s="67"/>
      <c r="B76" s="142">
        <v>0.41666666666666702</v>
      </c>
      <c r="C76" s="156">
        <v>0.94</v>
      </c>
      <c r="D76" s="156">
        <v>0.06</v>
      </c>
      <c r="E76" s="157">
        <f>C56*Table3C.4_57Delay_PA[[#This Row],[Car Traffic Share]]</f>
        <v>15179.119999999999</v>
      </c>
      <c r="F76" s="157">
        <f>H56*Table3C.4_57Delay_PA[[#This Row],[Car Traffic]]</f>
        <v>401.95153044444442</v>
      </c>
      <c r="G76" s="157">
        <f>C56*Table3C.4_57Delay_PA[[#This Row],[Truck Traffic Share]]</f>
        <v>968.88</v>
      </c>
      <c r="H76" s="157">
        <f>H56*Table3C.4_57Delay_PA[[#This Row],[Truck Traffic]]</f>
        <v>25.656480666666667</v>
      </c>
    </row>
    <row r="77" spans="1:8">
      <c r="A77" s="67"/>
      <c r="B77" s="142">
        <v>0.45833333333333298</v>
      </c>
      <c r="C77" s="156">
        <v>0.94</v>
      </c>
      <c r="D77" s="156">
        <v>0.06</v>
      </c>
      <c r="E77" s="157">
        <f>C57*Table3C.4_57Delay_PA[[#This Row],[Car Traffic Share]]</f>
        <v>13148.72</v>
      </c>
      <c r="F77" s="157">
        <f>H57*Table3C.4_57Delay_PA[[#This Row],[Car Traffic]]</f>
        <v>64.355679555555554</v>
      </c>
      <c r="G77" s="157">
        <f>C57*Table3C.4_57Delay_PA[[#This Row],[Truck Traffic Share]]</f>
        <v>839.28</v>
      </c>
      <c r="H77" s="157">
        <f>H57*Table3C.4_57Delay_PA[[#This Row],[Truck Traffic]]</f>
        <v>4.107809333333333</v>
      </c>
    </row>
    <row r="78" spans="1:8">
      <c r="A78" s="67"/>
      <c r="B78" s="142">
        <v>0.5</v>
      </c>
      <c r="C78" s="156">
        <v>0.94</v>
      </c>
      <c r="D78" s="156">
        <v>0.06</v>
      </c>
      <c r="E78" s="157">
        <f>C58*Table3C.4_57Delay_PA[[#This Row],[Car Traffic Share]]</f>
        <v>13146.84</v>
      </c>
      <c r="F78" s="157">
        <f>H58*Table3C.4_57Delay_PA[[#This Row],[Car Traffic]]</f>
        <v>63.177870000000006</v>
      </c>
      <c r="G78" s="157">
        <f>C58*Table3C.4_57Delay_PA[[#This Row],[Truck Traffic Share]]</f>
        <v>839.16</v>
      </c>
      <c r="H78" s="157">
        <f>H58*Table3C.4_57Delay_PA[[#This Row],[Truck Traffic]]</f>
        <v>4.0326300000000002</v>
      </c>
    </row>
    <row r="79" spans="1:8">
      <c r="A79" s="67"/>
      <c r="B79" s="142">
        <v>0.54166666666666696</v>
      </c>
      <c r="C79" s="156">
        <v>0.94</v>
      </c>
      <c r="D79" s="156">
        <v>0.06</v>
      </c>
      <c r="E79" s="157">
        <f>C59*Table3C.4_57Delay_PA[[#This Row],[Car Traffic Share]]</f>
        <v>14951.64</v>
      </c>
      <c r="F79" s="157">
        <f>H59*Table3C.4_57Delay_PA[[#This Row],[Car Traffic]]</f>
        <v>99.59453533333334</v>
      </c>
      <c r="G79" s="157">
        <f>C59*Table3C.4_57Delay_PA[[#This Row],[Truck Traffic Share]]</f>
        <v>954.36</v>
      </c>
      <c r="H79" s="157">
        <f>H59*Table3C.4_57Delay_PA[[#This Row],[Truck Traffic]]</f>
        <v>6.3570980000000006</v>
      </c>
    </row>
    <row r="80" spans="1:8">
      <c r="A80" s="67"/>
      <c r="B80" s="142">
        <v>0.58333333333333304</v>
      </c>
      <c r="C80" s="156">
        <v>0.94</v>
      </c>
      <c r="D80" s="156">
        <v>0.06</v>
      </c>
      <c r="E80" s="157">
        <f>C60*Table3C.4_57Delay_PA[[#This Row],[Car Traffic Share]]</f>
        <v>20395.18</v>
      </c>
      <c r="F80" s="157">
        <f>H60*Table3C.4_57Delay_PA[[#This Row],[Car Traffic]]</f>
        <v>234.99779622222221</v>
      </c>
      <c r="G80" s="157">
        <f>C60*Table3C.4_57Delay_PA[[#This Row],[Truck Traffic Share]]</f>
        <v>1301.82</v>
      </c>
      <c r="H80" s="157">
        <f>H60*Table3C.4_57Delay_PA[[#This Row],[Truck Traffic]]</f>
        <v>14.999859333333331</v>
      </c>
    </row>
    <row r="81" spans="1:8">
      <c r="A81" s="67"/>
      <c r="B81" s="142">
        <v>0.625</v>
      </c>
      <c r="C81" s="156">
        <v>0.94</v>
      </c>
      <c r="D81" s="156">
        <v>0.06</v>
      </c>
      <c r="E81" s="157">
        <f>C61*Table3C.4_57Delay_PA[[#This Row],[Car Traffic Share]]</f>
        <v>21383.119999999999</v>
      </c>
      <c r="F81" s="157">
        <f>H61*Table3C.4_57Delay_PA[[#This Row],[Car Traffic]]</f>
        <v>675.88478466666663</v>
      </c>
      <c r="G81" s="157">
        <f>C61*Table3C.4_57Delay_PA[[#This Row],[Truck Traffic Share]]</f>
        <v>1364.8799999999999</v>
      </c>
      <c r="H81" s="157">
        <f>H61*Table3C.4_57Delay_PA[[#This Row],[Truck Traffic]]</f>
        <v>43.141582</v>
      </c>
    </row>
    <row r="82" spans="1:8">
      <c r="A82" s="67"/>
      <c r="B82" s="142">
        <v>0.66666666666666696</v>
      </c>
      <c r="C82" s="156">
        <v>0.94</v>
      </c>
      <c r="D82" s="156">
        <v>0.06</v>
      </c>
      <c r="E82" s="157">
        <f>C62*Table3C.4_57Delay_PA[[#This Row],[Car Traffic Share]]</f>
        <v>21913.279999999999</v>
      </c>
      <c r="F82" s="157">
        <f>H62*Table3C.4_57Delay_PA[[#This Row],[Car Traffic]]</f>
        <v>1014.7674746666667</v>
      </c>
      <c r="G82" s="157">
        <f>C62*Table3C.4_57Delay_PA[[#This Row],[Truck Traffic Share]]</f>
        <v>1398.72</v>
      </c>
      <c r="H82" s="157">
        <f>H62*Table3C.4_57Delay_PA[[#This Row],[Truck Traffic]]</f>
        <v>64.772391999999996</v>
      </c>
    </row>
    <row r="83" spans="1:8">
      <c r="A83" s="67"/>
      <c r="B83" s="142">
        <v>0.70833333333333304</v>
      </c>
      <c r="C83" s="156">
        <v>0.94</v>
      </c>
      <c r="D83" s="156">
        <v>0.06</v>
      </c>
      <c r="E83" s="157">
        <f>C63*Table3C.4_57Delay_PA[[#This Row],[Car Traffic Share]]</f>
        <v>20737.34</v>
      </c>
      <c r="F83" s="157">
        <f>H63*Table3C.4_57Delay_PA[[#This Row],[Car Traffic]]</f>
        <v>860.31159138888893</v>
      </c>
      <c r="G83" s="157">
        <f>C63*Table3C.4_57Delay_PA[[#This Row],[Truck Traffic Share]]</f>
        <v>1323.6599999999999</v>
      </c>
      <c r="H83" s="157">
        <f>H63*Table3C.4_57Delay_PA[[#This Row],[Truck Traffic]]</f>
        <v>54.913505833333332</v>
      </c>
    </row>
    <row r="84" spans="1:8">
      <c r="A84" s="67"/>
      <c r="B84" s="142">
        <v>0.75</v>
      </c>
      <c r="C84" s="156">
        <v>0.94</v>
      </c>
      <c r="D84" s="156">
        <v>0.06</v>
      </c>
      <c r="E84" s="157">
        <f>C64*Table3C.4_57Delay_PA[[#This Row],[Car Traffic Share]]</f>
        <v>15161.259999999998</v>
      </c>
      <c r="F84" s="157">
        <f>H64*Table3C.4_57Delay_PA[[#This Row],[Car Traffic]]</f>
        <v>285.07380261111103</v>
      </c>
      <c r="G84" s="157">
        <f>C64*Table3C.4_57Delay_PA[[#This Row],[Truck Traffic Share]]</f>
        <v>967.74</v>
      </c>
      <c r="H84" s="157">
        <f>H64*Table3C.4_57Delay_PA[[#This Row],[Truck Traffic]]</f>
        <v>18.196200166666664</v>
      </c>
    </row>
    <row r="85" spans="1:8" ht="13.5" thickBot="1">
      <c r="B85" s="142">
        <v>0.79166666666666663</v>
      </c>
      <c r="C85" s="158">
        <v>0.94</v>
      </c>
      <c r="D85" s="158">
        <v>0.06</v>
      </c>
      <c r="E85" s="161">
        <f>C65*Table3C.4_57Delay_PA[[#This Row],[Car Traffic Share]]</f>
        <v>9808.9</v>
      </c>
      <c r="F85" s="161">
        <f>H65*Table3C.4_57Delay_PA[[#This Row],[Car Traffic]]</f>
        <v>53.049800833333322</v>
      </c>
      <c r="G85" s="161">
        <f>C65*Table3C.4_57Delay_PA[[#This Row],[Truck Traffic Share]]</f>
        <v>626.1</v>
      </c>
      <c r="H85" s="161">
        <f>H65*Table3C.4_57Delay_PA[[#This Row],[Truck Traffic]]</f>
        <v>3.3861574999999999</v>
      </c>
    </row>
    <row r="86" spans="1:8" ht="13.5" thickTop="1">
      <c r="B86" s="90" t="s">
        <v>28</v>
      </c>
      <c r="C86" s="81"/>
      <c r="D86" s="81"/>
      <c r="E86" s="153">
        <f>SUBTOTAL(109,Table3C.4_57Delay_PA[Car Traffic])</f>
        <v>235936.24</v>
      </c>
      <c r="F86" s="153">
        <f>SUBTOTAL(109,Table3C.4_57Delay_PA[Car Delay 
(hrs)])</f>
        <v>5113.7124187777781</v>
      </c>
      <c r="G86" s="153">
        <f>SUBTOTAL(109,Table3C.4_57Delay_PA[Truck Traffic])</f>
        <v>15059.759999999998</v>
      </c>
      <c r="H86" s="153">
        <f>SUBTOTAL(109,Table3C.4_57Delay_PA[Truck Delay (hrs)])</f>
        <v>326.40717566666666</v>
      </c>
    </row>
    <row r="88" spans="1:8">
      <c r="B88" s="63" t="s">
        <v>217</v>
      </c>
    </row>
    <row r="89" spans="1:8">
      <c r="B89" s="459"/>
      <c r="C89" s="459"/>
      <c r="D89" s="459"/>
      <c r="E89" s="459"/>
      <c r="F89" s="459"/>
      <c r="G89" s="459"/>
      <c r="H89" s="459"/>
    </row>
    <row r="90" spans="1:8" ht="25.5">
      <c r="B90" s="122" t="s">
        <v>183</v>
      </c>
      <c r="C90" s="122" t="s">
        <v>206</v>
      </c>
      <c r="D90" s="84" t="s">
        <v>207</v>
      </c>
      <c r="E90" s="122" t="s">
        <v>208</v>
      </c>
      <c r="F90" s="122" t="s">
        <v>209</v>
      </c>
      <c r="G90" s="122" t="s">
        <v>210</v>
      </c>
      <c r="H90" s="122" t="s">
        <v>211</v>
      </c>
    </row>
    <row r="91" spans="1:8">
      <c r="B91" s="142">
        <v>0.20833333333333334</v>
      </c>
      <c r="C91" s="157">
        <f t="shared" ref="C91:C105" si="0">F31-F71</f>
        <v>-2.7781987222222284</v>
      </c>
      <c r="D91" s="157">
        <f t="shared" ref="D91:D105" si="1">H31-H71</f>
        <v>-0.17733183333333447</v>
      </c>
      <c r="E91" s="162">
        <f>Table3C.7_57TTSMoney[[#This Row],[Car Delay Savings (hrs)]]*All_Purpose_Travel*Passenger_Vehicles_Occupancy</f>
        <v>-87.22432708288909</v>
      </c>
      <c r="F91" s="162">
        <f>Table3C.7_57TTSMoney[[#This Row],[Truck Delay Savings (hrs)]]*Truck_Travel</f>
        <v>-5.7455514000000365</v>
      </c>
      <c r="G91" s="162">
        <f>(Table3C.7_57TTSMoney[[#This Row],[Truck Savings Benefits (Daily)]]+Table3C.7_57TTSMoney[[#This Row],[Car Savings Benefits (Daily)]])*270</f>
        <v>-25101.867190380064</v>
      </c>
      <c r="H91" s="162">
        <f>(Table3C.7_57TTSMoney[[#This Row],[Car Savings Benefits (Daily)]]+Table3C.7_57TTSMoney[[#This Row],[Truck Savings Benefits (Daily)]])*365</f>
        <v>-33934.005646254533</v>
      </c>
    </row>
    <row r="92" spans="1:8">
      <c r="B92" s="142">
        <v>0.25</v>
      </c>
      <c r="C92" s="157">
        <f t="shared" si="0"/>
        <v>-1.5052533333333358</v>
      </c>
      <c r="D92" s="157">
        <f t="shared" si="1"/>
        <v>-9.6080000000000165E-2</v>
      </c>
      <c r="E92" s="162">
        <f>Table3C.7_57TTSMoney[[#This Row],[Car Delay Savings (hrs)]]*All_Purpose_Travel*Passenger_Vehicles_Occupancy</f>
        <v>-47.258933653333415</v>
      </c>
      <c r="F92" s="162">
        <f>Table3C.7_57TTSMoney[[#This Row],[Truck Delay Savings (hrs)]]*Truck_Travel</f>
        <v>-3.1129920000000051</v>
      </c>
      <c r="G92" s="162">
        <f>(Table3C.7_57TTSMoney[[#This Row],[Truck Savings Benefits (Daily)]]+Table3C.7_57TTSMoney[[#This Row],[Car Savings Benefits (Daily)]])*270</f>
        <v>-13600.419926400024</v>
      </c>
      <c r="H92" s="162">
        <f>(Table3C.7_57TTSMoney[[#This Row],[Car Savings Benefits (Daily)]]+Table3C.7_57TTSMoney[[#This Row],[Truck Savings Benefits (Daily)]])*365</f>
        <v>-18385.7528634667</v>
      </c>
    </row>
    <row r="93" spans="1:8">
      <c r="B93" s="142">
        <v>0.29166666666666702</v>
      </c>
      <c r="C93" s="157">
        <f t="shared" si="0"/>
        <v>0.27053461111113108</v>
      </c>
      <c r="D93" s="157">
        <f t="shared" si="1"/>
        <v>1.7268166666667195E-2</v>
      </c>
      <c r="E93" s="162">
        <f>Table3C.7_57TTSMoney[[#This Row],[Car Delay Savings (hrs)]]*All_Purpose_Travel*Passenger_Vehicles_Occupancy</f>
        <v>8.4937046504450713</v>
      </c>
      <c r="F93" s="162">
        <f>Table3C.7_57TTSMoney[[#This Row],[Truck Delay Savings (hrs)]]*Truck_Travel</f>
        <v>0.5594886000000171</v>
      </c>
      <c r="G93" s="162">
        <f>(Table3C.7_57TTSMoney[[#This Row],[Truck Savings Benefits (Daily)]]+Table3C.7_57TTSMoney[[#This Row],[Car Savings Benefits (Daily)]])*270</f>
        <v>2444.362177620174</v>
      </c>
      <c r="H93" s="162">
        <f>(Table3C.7_57TTSMoney[[#This Row],[Car Savings Benefits (Daily)]]+Table3C.7_57TTSMoney[[#This Row],[Truck Savings Benefits (Daily)]])*365</f>
        <v>3304.4155364124576</v>
      </c>
    </row>
    <row r="94" spans="1:8">
      <c r="B94" s="142">
        <v>0.33333333333333298</v>
      </c>
      <c r="C94" s="157">
        <f t="shared" si="0"/>
        <v>90.153566999999953</v>
      </c>
      <c r="D94" s="157">
        <f t="shared" si="1"/>
        <v>5.754483000000004</v>
      </c>
      <c r="E94" s="162">
        <f>Table3C.7_57TTSMoney[[#This Row],[Car Delay Savings (hrs)]]*All_Purpose_Travel*Passenger_Vehicles_Occupancy</f>
        <v>2830.4613895319985</v>
      </c>
      <c r="F94" s="162">
        <f>Table3C.7_57TTSMoney[[#This Row],[Truck Delay Savings (hrs)]]*Truck_Travel</f>
        <v>186.44524920000012</v>
      </c>
      <c r="G94" s="162">
        <f>(Table3C.7_57TTSMoney[[#This Row],[Truck Savings Benefits (Daily)]]+Table3C.7_57TTSMoney[[#This Row],[Car Savings Benefits (Daily)]])*270</f>
        <v>814564.79245763959</v>
      </c>
      <c r="H94" s="162">
        <f>(Table3C.7_57TTSMoney[[#This Row],[Car Savings Benefits (Daily)]]+Table3C.7_57TTSMoney[[#This Row],[Truck Savings Benefits (Daily)]])*365</f>
        <v>1101170.9231371796</v>
      </c>
    </row>
    <row r="95" spans="1:8">
      <c r="B95" s="142">
        <v>0.375</v>
      </c>
      <c r="C95" s="157">
        <f t="shared" si="0"/>
        <v>606.55402716666629</v>
      </c>
      <c r="D95" s="157">
        <f t="shared" si="1"/>
        <v>38.716214499999992</v>
      </c>
      <c r="E95" s="162">
        <f>Table3C.7_57TTSMoney[[#This Row],[Car Delay Savings (hrs)]]*All_Purpose_Travel*Passenger_Vehicles_Occupancy</f>
        <v>19043.370236924653</v>
      </c>
      <c r="F95" s="162">
        <f>Table3C.7_57TTSMoney[[#This Row],[Truck Delay Savings (hrs)]]*Truck_Travel</f>
        <v>1254.4053497999996</v>
      </c>
      <c r="G95" s="162">
        <f>(Table3C.7_57TTSMoney[[#This Row],[Truck Savings Benefits (Daily)]]+Table3C.7_57TTSMoney[[#This Row],[Car Savings Benefits (Daily)]])*270</f>
        <v>5480399.4084156565</v>
      </c>
      <c r="H95" s="162">
        <f>(Table3C.7_57TTSMoney[[#This Row],[Car Savings Benefits (Daily)]]+Table3C.7_57TTSMoney[[#This Row],[Truck Savings Benefits (Daily)]])*365</f>
        <v>7408688.0891544977</v>
      </c>
    </row>
    <row r="96" spans="1:8">
      <c r="B96" s="142">
        <v>0.41666666666666702</v>
      </c>
      <c r="C96" s="157">
        <f t="shared" si="0"/>
        <v>268.63105888888879</v>
      </c>
      <c r="D96" s="157">
        <f t="shared" si="1"/>
        <v>17.146663333333329</v>
      </c>
      <c r="E96" s="162">
        <f>Table3C.7_57TTSMoney[[#This Row],[Car Delay Savings (hrs)]]*All_Purpose_Travel*Passenger_Vehicles_Occupancy</f>
        <v>8433.9407248755524</v>
      </c>
      <c r="F96" s="162">
        <f>Table3C.7_57TTSMoney[[#This Row],[Truck Delay Savings (hrs)]]*Truck_Travel</f>
        <v>555.55189199999984</v>
      </c>
      <c r="G96" s="162">
        <f>(Table3C.7_57TTSMoney[[#This Row],[Truck Savings Benefits (Daily)]]+Table3C.7_57TTSMoney[[#This Row],[Car Savings Benefits (Daily)]])*270</f>
        <v>2427163.0065563992</v>
      </c>
      <c r="H96" s="162">
        <f>(Table3C.7_57TTSMoney[[#This Row],[Car Savings Benefits (Daily)]]+Table3C.7_57TTSMoney[[#This Row],[Truck Savings Benefits (Daily)]])*365</f>
        <v>3281164.8051595762</v>
      </c>
    </row>
    <row r="97" spans="2:8">
      <c r="B97" s="142">
        <v>0.45833333333333298</v>
      </c>
      <c r="C97" s="157">
        <f t="shared" si="0"/>
        <v>188.6114752222222</v>
      </c>
      <c r="D97" s="157">
        <f t="shared" si="1"/>
        <v>12.039030333333333</v>
      </c>
      <c r="E97" s="162">
        <f>Table3C.7_57TTSMoney[[#This Row],[Car Delay Savings (hrs)]]*All_Purpose_Travel*Passenger_Vehicles_Occupancy</f>
        <v>5921.6458760768874</v>
      </c>
      <c r="F97" s="162">
        <f>Table3C.7_57TTSMoney[[#This Row],[Truck Delay Savings (hrs)]]*Truck_Travel</f>
        <v>390.06458279999998</v>
      </c>
      <c r="G97" s="162">
        <f>(Table3C.7_57TTSMoney[[#This Row],[Truck Savings Benefits (Daily)]]+Table3C.7_57TTSMoney[[#This Row],[Car Savings Benefits (Daily)]])*270</f>
        <v>1704161.8238967594</v>
      </c>
      <c r="H97" s="162">
        <f>(Table3C.7_57TTSMoney[[#This Row],[Car Savings Benefits (Daily)]]+Table3C.7_57TTSMoney[[#This Row],[Truck Savings Benefits (Daily)]])*365</f>
        <v>2303774.3174900636</v>
      </c>
    </row>
    <row r="98" spans="2:8">
      <c r="B98" s="142">
        <v>0.5</v>
      </c>
      <c r="C98" s="157">
        <f t="shared" si="0"/>
        <v>94.058227777777745</v>
      </c>
      <c r="D98" s="157">
        <f t="shared" si="1"/>
        <v>6.0037166666666666</v>
      </c>
      <c r="E98" s="162">
        <f>Table3C.7_57TTSMoney[[#This Row],[Car Delay Savings (hrs)]]*All_Purpose_Travel*Passenger_Vehicles_Occupancy</f>
        <v>2953.0521193111099</v>
      </c>
      <c r="F98" s="162">
        <f>Table3C.7_57TTSMoney[[#This Row],[Truck Delay Savings (hrs)]]*Truck_Travel</f>
        <v>194.52042</v>
      </c>
      <c r="G98" s="162">
        <f>(Table3C.7_57TTSMoney[[#This Row],[Truck Savings Benefits (Daily)]]+Table3C.7_57TTSMoney[[#This Row],[Car Savings Benefits (Daily)]])*270</f>
        <v>849844.58561399963</v>
      </c>
      <c r="H98" s="162">
        <f>(Table3C.7_57TTSMoney[[#This Row],[Car Savings Benefits (Daily)]]+Table3C.7_57TTSMoney[[#This Row],[Truck Savings Benefits (Daily)]])*365</f>
        <v>1148863.976848555</v>
      </c>
    </row>
    <row r="99" spans="2:8">
      <c r="B99" s="142">
        <v>0.54166666666666696</v>
      </c>
      <c r="C99" s="157">
        <f t="shared" si="0"/>
        <v>2.284278333333333</v>
      </c>
      <c r="D99" s="157">
        <f t="shared" si="1"/>
        <v>0.14580500000000018</v>
      </c>
      <c r="E99" s="162">
        <f>Table3C.7_57TTSMoney[[#This Row],[Car Delay Savings (hrs)]]*All_Purpose_Travel*Passenger_Vehicles_Occupancy</f>
        <v>71.717202553333323</v>
      </c>
      <c r="F99" s="162">
        <f>Table3C.7_57TTSMoney[[#This Row],[Truck Delay Savings (hrs)]]*Truck_Travel</f>
        <v>4.7240820000000054</v>
      </c>
      <c r="G99" s="162">
        <f>(Table3C.7_57TTSMoney[[#This Row],[Truck Savings Benefits (Daily)]]+Table3C.7_57TTSMoney[[#This Row],[Car Savings Benefits (Daily)]])*270</f>
        <v>20639.146829400001</v>
      </c>
      <c r="H99" s="162">
        <f>(Table3C.7_57TTSMoney[[#This Row],[Car Savings Benefits (Daily)]]+Table3C.7_57TTSMoney[[#This Row],[Truck Savings Benefits (Daily)]])*365</f>
        <v>27901.068861966665</v>
      </c>
    </row>
    <row r="100" spans="2:8">
      <c r="B100" s="142">
        <v>0.58333333333333304</v>
      </c>
      <c r="C100" s="157">
        <f t="shared" si="0"/>
        <v>82.511836999999986</v>
      </c>
      <c r="D100" s="157">
        <f t="shared" si="1"/>
        <v>5.2667130000000011</v>
      </c>
      <c r="E100" s="162">
        <f>Table3C.7_57TTSMoney[[#This Row],[Car Delay Savings (hrs)]]*All_Purpose_Travel*Passenger_Vehicles_Occupancy</f>
        <v>2590.5416344519999</v>
      </c>
      <c r="F100" s="162">
        <f>Table3C.7_57TTSMoney[[#This Row],[Truck Delay Savings (hrs)]]*Truck_Travel</f>
        <v>170.64150120000002</v>
      </c>
      <c r="G100" s="162">
        <f>(Table3C.7_57TTSMoney[[#This Row],[Truck Savings Benefits (Daily)]]+Table3C.7_57TTSMoney[[#This Row],[Car Savings Benefits (Daily)]])*270</f>
        <v>745519.44662604004</v>
      </c>
      <c r="H100" s="162">
        <f>(Table3C.7_57TTSMoney[[#This Row],[Car Savings Benefits (Daily)]]+Table3C.7_57TTSMoney[[#This Row],[Truck Savings Benefits (Daily)]])*365</f>
        <v>1007831.8445129801</v>
      </c>
    </row>
    <row r="101" spans="2:8">
      <c r="B101" s="142">
        <v>0.625</v>
      </c>
      <c r="C101" s="157">
        <f t="shared" si="0"/>
        <v>278.75514088888895</v>
      </c>
      <c r="D101" s="157">
        <f t="shared" si="1"/>
        <v>17.792881333333327</v>
      </c>
      <c r="E101" s="162">
        <f>Table3C.7_57TTSMoney[[#This Row],[Car Delay Savings (hrs)]]*All_Purpose_Travel*Passenger_Vehicles_Occupancy</f>
        <v>8751.7964033475582</v>
      </c>
      <c r="F101" s="162">
        <f>Table3C.7_57TTSMoney[[#This Row],[Truck Delay Savings (hrs)]]*Truck_Travel</f>
        <v>576.48935519999975</v>
      </c>
      <c r="G101" s="162">
        <f>(Table3C.7_57TTSMoney[[#This Row],[Truck Savings Benefits (Daily)]]+Table3C.7_57TTSMoney[[#This Row],[Car Savings Benefits (Daily)]])*270</f>
        <v>2518637.1548078405</v>
      </c>
      <c r="H101" s="162">
        <f>(Table3C.7_57TTSMoney[[#This Row],[Car Savings Benefits (Daily)]]+Table3C.7_57TTSMoney[[#This Row],[Truck Savings Benefits (Daily)]])*365</f>
        <v>3404824.3018698585</v>
      </c>
    </row>
    <row r="102" spans="2:8">
      <c r="B102" s="142">
        <v>0.66666666666666696</v>
      </c>
      <c r="C102" s="157">
        <f t="shared" si="0"/>
        <v>1277.4221336666665</v>
      </c>
      <c r="D102" s="157">
        <f t="shared" si="1"/>
        <v>81.537583000000012</v>
      </c>
      <c r="E102" s="162">
        <f>Table3C.7_57TTSMoney[[#This Row],[Car Delay Savings (hrs)]]*All_Purpose_Travel*Passenger_Vehicles_Occupancy</f>
        <v>40105.945308598661</v>
      </c>
      <c r="F102" s="162">
        <f>Table3C.7_57TTSMoney[[#This Row],[Truck Delay Savings (hrs)]]*Truck_Travel</f>
        <v>2641.8176892000001</v>
      </c>
      <c r="G102" s="162">
        <f>(Table3C.7_57TTSMoney[[#This Row],[Truck Savings Benefits (Daily)]]+Table3C.7_57TTSMoney[[#This Row],[Car Savings Benefits (Daily)]])*270</f>
        <v>11541896.009405637</v>
      </c>
      <c r="H102" s="162">
        <f>(Table3C.7_57TTSMoney[[#This Row],[Car Savings Benefits (Daily)]]+Table3C.7_57TTSMoney[[#This Row],[Truck Savings Benefits (Daily)]])*365</f>
        <v>15602933.49419651</v>
      </c>
    </row>
    <row r="103" spans="2:8">
      <c r="B103" s="142">
        <v>0.70833333333333304</v>
      </c>
      <c r="C103" s="157">
        <f t="shared" si="0"/>
        <v>1083.1461792777775</v>
      </c>
      <c r="D103" s="157">
        <f t="shared" si="1"/>
        <v>69.136990166666664</v>
      </c>
      <c r="E103" s="162">
        <f>Table3C.7_57TTSMoney[[#This Row],[Car Delay Savings (hrs)]]*All_Purpose_Travel*Passenger_Vehicles_Occupancy</f>
        <v>34006.457444605097</v>
      </c>
      <c r="F103" s="162">
        <f>Table3C.7_57TTSMoney[[#This Row],[Truck Delay Savings (hrs)]]*Truck_Travel</f>
        <v>2240.0384813999999</v>
      </c>
      <c r="G103" s="162">
        <f>(Table3C.7_57TTSMoney[[#This Row],[Truck Savings Benefits (Daily)]]+Table3C.7_57TTSMoney[[#This Row],[Car Savings Benefits (Daily)]])*270</f>
        <v>9786553.9000213761</v>
      </c>
      <c r="H103" s="162">
        <f>(Table3C.7_57TTSMoney[[#This Row],[Car Savings Benefits (Daily)]]+Table3C.7_57TTSMoney[[#This Row],[Truck Savings Benefits (Daily)]])*365</f>
        <v>13229971.012991861</v>
      </c>
    </row>
    <row r="104" spans="2:8">
      <c r="B104" s="142">
        <v>0.75</v>
      </c>
      <c r="C104" s="157">
        <f t="shared" si="0"/>
        <v>585.64650016666678</v>
      </c>
      <c r="D104" s="157">
        <f t="shared" si="1"/>
        <v>37.381691500000009</v>
      </c>
      <c r="E104" s="162">
        <f>Table3C.7_57TTSMoney[[#This Row],[Car Delay Savings (hrs)]]*All_Purpose_Travel*Passenger_Vehicles_Occupancy</f>
        <v>18386.95751923267</v>
      </c>
      <c r="F104" s="162">
        <f>Table3C.7_57TTSMoney[[#This Row],[Truck Delay Savings (hrs)]]*Truck_Travel</f>
        <v>1211.1668046000002</v>
      </c>
      <c r="G104" s="162">
        <f>(Table3C.7_57TTSMoney[[#This Row],[Truck Savings Benefits (Daily)]]+Table3C.7_57TTSMoney[[#This Row],[Car Savings Benefits (Daily)]])*270</f>
        <v>5291493.5674348213</v>
      </c>
      <c r="H104" s="162">
        <f>(Table3C.7_57TTSMoney[[#This Row],[Car Savings Benefits (Daily)]]+Table3C.7_57TTSMoney[[#This Row],[Truck Savings Benefits (Daily)]])*365</f>
        <v>7153315.3781989254</v>
      </c>
    </row>
    <row r="105" spans="2:8" ht="13.5" thickBot="1">
      <c r="B105" s="142">
        <v>0.79166666666666663</v>
      </c>
      <c r="C105" s="161">
        <f t="shared" si="0"/>
        <v>373.54128116666669</v>
      </c>
      <c r="D105" s="161">
        <f t="shared" si="1"/>
        <v>23.843060500000004</v>
      </c>
      <c r="E105" s="163">
        <f>Table3C.7_57TTSMoney[[#This Row],[Car Delay Savings (hrs)]]*All_Purpose_Travel*Passenger_Vehicles_Occupancy</f>
        <v>11727.702063508668</v>
      </c>
      <c r="F105" s="163">
        <f>Table3C.7_57TTSMoney[[#This Row],[Truck Delay Savings (hrs)]]*Truck_Travel</f>
        <v>772.51516020000008</v>
      </c>
      <c r="G105" s="163">
        <f>(Table3C.7_57TTSMoney[[#This Row],[Truck Savings Benefits (Daily)]]+Table3C.7_57TTSMoney[[#This Row],[Car Savings Benefits (Daily)]])*270</f>
        <v>3375058.6504013408</v>
      </c>
      <c r="H105" s="163">
        <f>(Table3C.7_57TTSMoney[[#This Row],[Car Savings Benefits (Daily)]]+Table3C.7_57TTSMoney[[#This Row],[Truck Savings Benefits (Daily)]])*365</f>
        <v>4562579.286653664</v>
      </c>
    </row>
    <row r="106" spans="2:8" ht="13.5" thickTop="1">
      <c r="B106" s="90" t="s">
        <v>28</v>
      </c>
      <c r="C106" s="153">
        <f>SUBTOTAL(109,Table3C.7_57TTSMoney[Car Delay Savings (hrs)])</f>
        <v>4927.3027891111096</v>
      </c>
      <c r="D106" s="153">
        <f>SUBTOTAL(109,Table3C.7_57TTSMoney[Truck Delay Savings (hrs)])</f>
        <v>314.50868866666661</v>
      </c>
      <c r="E106" s="126">
        <f>SUBTOTAL(109,Table3C.7_57TTSMoney[Car Savings Benefits (Daily)])</f>
        <v>154697.59836693242</v>
      </c>
      <c r="F106" s="126">
        <f>SUBTOTAL(109,Table3C.7_57TTSMoney[Truck Savings Benefits (Daily)])</f>
        <v>10190.081512800001</v>
      </c>
      <c r="G106" s="126">
        <f>SUBTOTAL(109,Table3C.7_57TTSMoney[Total Benefits, Low (270 Days)])</f>
        <v>44519673.567527741</v>
      </c>
      <c r="H106" s="126">
        <f>SUBTOTAL(109,Table3C.7_57TTSMoney[Total Benefits, High (365 Days)])</f>
        <v>60184003.156102329</v>
      </c>
    </row>
  </sheetData>
  <mergeCells count="6">
    <mergeCell ref="B89:H89"/>
    <mergeCell ref="A1:I1"/>
    <mergeCell ref="B9:H9"/>
    <mergeCell ref="B29:H29"/>
    <mergeCell ref="B49:H49"/>
    <mergeCell ref="B69:H69"/>
  </mergeCells>
  <pageMargins left="0.7" right="0.7" top="0.75" bottom="0.75" header="0.3" footer="0.3"/>
  <pageSetup scale="81" fitToHeight="0" orientation="landscape" r:id="rId1"/>
  <rowBreaks count="2" manualBreakCount="2">
    <brk id="27" max="16383" man="1"/>
    <brk id="66" max="16383" man="1"/>
  </rowBreaks>
  <drawing r:id="rId2"/>
  <tableParts count="5">
    <tablePart r:id="rId3"/>
    <tablePart r:id="rId4"/>
    <tablePart r:id="rId5"/>
    <tablePart r:id="rId6"/>
    <tablePart r:id="rId7"/>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E9C50-B9D7-42FF-8F0C-5E36960C37D6}">
  <sheetPr>
    <tabColor theme="0" tint="-0.249977111117893"/>
    <pageSetUpPr fitToPage="1"/>
  </sheetPr>
  <dimension ref="A1:I128"/>
  <sheetViews>
    <sheetView showGridLines="0" zoomScaleNormal="100" workbookViewId="0">
      <selection activeCell="E10" sqref="E10"/>
    </sheetView>
  </sheetViews>
  <sheetFormatPr defaultColWidth="9.140625" defaultRowHeight="12.75"/>
  <cols>
    <col min="1" max="1" width="16.28515625" style="82" customWidth="1"/>
    <col min="2" max="2" width="15.7109375" style="82" customWidth="1"/>
    <col min="3" max="8" width="21.42578125" style="82" customWidth="1"/>
    <col min="9" max="9" width="17.85546875" style="82" customWidth="1"/>
    <col min="10" max="16384" width="9.140625" style="82"/>
  </cols>
  <sheetData>
    <row r="1" spans="1:9" ht="15" customHeight="1">
      <c r="A1" s="492" t="s">
        <v>218</v>
      </c>
      <c r="B1" s="493"/>
      <c r="C1" s="493"/>
      <c r="D1" s="493"/>
      <c r="E1" s="493"/>
      <c r="F1" s="493"/>
      <c r="G1" s="493"/>
      <c r="H1" s="493"/>
      <c r="I1" s="493"/>
    </row>
    <row r="2" spans="1:9" ht="15" customHeight="1">
      <c r="A2" s="87" t="s">
        <v>1</v>
      </c>
      <c r="B2" s="63" t="str">
        <f>Project_Name</f>
        <v>Completing the I-95 Missing Move and Quonset Connector Ramps</v>
      </c>
    </row>
    <row r="3" spans="1:9" ht="15" customHeight="1">
      <c r="A3" s="87" t="s">
        <v>2</v>
      </c>
      <c r="B3" s="63" t="s">
        <v>29</v>
      </c>
    </row>
    <row r="4" spans="1:9" ht="15" customHeight="1">
      <c r="A4" s="87" t="s">
        <v>4</v>
      </c>
      <c r="B4" s="88">
        <f>Date</f>
        <v>45159</v>
      </c>
    </row>
    <row r="5" spans="1:9" ht="30" customHeight="1">
      <c r="A5" s="87"/>
      <c r="B5" s="87"/>
      <c r="C5" s="88"/>
    </row>
    <row r="7" spans="1:9">
      <c r="B7" s="71" t="s">
        <v>219</v>
      </c>
    </row>
    <row r="8" spans="1:9">
      <c r="B8" s="71"/>
      <c r="C8" s="71"/>
      <c r="D8" s="71"/>
      <c r="E8" s="71"/>
      <c r="F8" s="71"/>
      <c r="G8" s="71"/>
      <c r="H8" s="71"/>
      <c r="I8" s="71"/>
    </row>
    <row r="9" spans="1:9" s="112" customFormat="1" ht="25.5">
      <c r="B9" s="122" t="s">
        <v>21</v>
      </c>
      <c r="C9" s="122" t="s">
        <v>153</v>
      </c>
      <c r="D9" s="122" t="s">
        <v>154</v>
      </c>
      <c r="E9" s="122" t="s">
        <v>155</v>
      </c>
      <c r="F9" s="122" t="s">
        <v>156</v>
      </c>
      <c r="G9" s="122" t="s">
        <v>220</v>
      </c>
      <c r="H9" s="122" t="s">
        <v>157</v>
      </c>
    </row>
    <row r="10" spans="1:9">
      <c r="B10" s="122">
        <f>First_Year+'Appendix B. Project Information'!B20</f>
        <v>2023</v>
      </c>
      <c r="C10" s="217" cm="1">
        <f t="array" ref="C10">IF(Table3D.1_DailyTTS_NB[[#This Row],[Year]]=Closeout,Traffic_27NB,Traffic_27NB+(TrafChange_NB*(Table3D.1_DailyTTS_NB[[#This Row],[Year]]-2027)))</f>
        <v>217437.33333333334</v>
      </c>
      <c r="D10" s="164" cm="1">
        <f t="array" ref="D10">IF(Table3D.1_DailyTTS_NB[[#This Row],[Year]]=Closeout,VMT_27NB,VMT_27NB+(VMTChange_NB*(Table3D.1_DailyTTS_NB[[#This Row],[Year]]-2027)))</f>
        <v>696065.12199999997</v>
      </c>
      <c r="E10" s="164" cm="1">
        <f t="array" ref="E10">IF(Table3D.1_DailyTTS_NB[[#This Row],[Year]]=Closeout,VHT_27NB,VHT_27NB+(VHTChange_NB*(Table3D.1_DailyTTS_NB[[#This Row],[Year]]-2027)))</f>
        <v>13728.55988611111</v>
      </c>
      <c r="F10" s="164" cm="1">
        <f t="array" ref="F10">IF(Table3D.1_DailyTTS_NB[[#This Row],[Year]]=Closeout,MPH_27NB,MPH_27NB+(MPHChange_NB*(Table3D.1_DailyTTS_NB[[#This Row],[Year]]-2027)))</f>
        <v>48.70088888888889</v>
      </c>
      <c r="G10" s="164" cm="1">
        <f t="array" ref="G10">IF(Table3D.1_DailyTTS_NB[[#This Row],[Year]]=Closeout,DelayTot_27NB,DelayTot_27NB+(DelayTotChange_NB*(Table3D.1_DailyTTS_NB[[#This Row],[Year]]-2027)))</f>
        <v>376.10363555555568</v>
      </c>
      <c r="H10" s="165" cm="1">
        <f t="array" ref="H10">IF(Table3D.1_DailyTTS_NB[[#This Row],[Year]]=Closeout,AvgDelay_27NB,AvgDelay_27NB+(DelayChange_NB*(Table3D.1_DailyTTS_NB[[#This Row],[Year]]-2027)))</f>
        <v>2.5129876543209867E-3</v>
      </c>
    </row>
    <row r="11" spans="1:9">
      <c r="B11" s="122">
        <f>First_Year+'Appendix B. Project Information'!B21</f>
        <v>2024</v>
      </c>
      <c r="C11" s="217" cm="1">
        <f t="array" ref="C11">IF(Table3D.1_DailyTTS_NB[[#This Row],[Year]]=Closeout,Traffic_27NB,Traffic_27NB+(TrafChange_NB*(Table3D.1_DailyTTS_NB[[#This Row],[Year]]-2027)))</f>
        <v>218551</v>
      </c>
      <c r="D11" s="164" cm="1">
        <f t="array" ref="D11">IF(Table3D.1_DailyTTS_NB[[#This Row],[Year]]=Closeout,VMT_27NB,VMT_27NB+(VMTChange_NB*(Table3D.1_DailyTTS_NB[[#This Row],[Year]]-2027)))</f>
        <v>698851.49899999995</v>
      </c>
      <c r="E11" s="164" cm="1">
        <f t="array" ref="E11">IF(Table3D.1_DailyTTS_NB[[#This Row],[Year]]=Closeout,VHT_27NB,VHT_27NB+(VHTChange_NB*(Table3D.1_DailyTTS_NB[[#This Row],[Year]]-2027)))</f>
        <v>14084.291409722222</v>
      </c>
      <c r="F11" s="164" cm="1">
        <f t="array" ref="F11">IF(Table3D.1_DailyTTS_NB[[#This Row],[Year]]=Closeout,MPH_27NB,MPH_27NB+(MPHChange_NB*(Table3D.1_DailyTTS_NB[[#This Row],[Year]]-2027)))</f>
        <v>48.324666666666666</v>
      </c>
      <c r="G11" s="164" cm="1">
        <f t="array" ref="G11">IF(Table3D.1_DailyTTS_NB[[#This Row],[Year]]=Closeout,DelayTot_27NB,DelayTot_27NB+(DelayTotChange_NB*(Table3D.1_DailyTTS_NB[[#This Row],[Year]]-2027)))</f>
        <v>679.36863638888894</v>
      </c>
      <c r="H11" s="165" cm="1">
        <f t="array" ref="H11">IF(Table3D.1_DailyTTS_NB[[#This Row],[Year]]=Closeout,AvgDelay_27NB,AvgDelay_27NB+(DelayChange_NB*(Table3D.1_DailyTTS_NB[[#This Row],[Year]]-2027)))</f>
        <v>3.5198333333333327E-3</v>
      </c>
    </row>
    <row r="12" spans="1:9">
      <c r="B12" s="122">
        <f>First_Year+'Appendix B. Project Information'!B22</f>
        <v>2025</v>
      </c>
      <c r="C12" s="217" cm="1">
        <f t="array" ref="C12">IF(Table3D.1_DailyTTS_NB[[#This Row],[Year]]=Closeout,Traffic_27NB,Traffic_27NB+(TrafChange_NB*(Table3D.1_DailyTTS_NB[[#This Row],[Year]]-2027)))</f>
        <v>219664.66666666666</v>
      </c>
      <c r="D12" s="164" cm="1">
        <f t="array" ref="D12">IF(Table3D.1_DailyTTS_NB[[#This Row],[Year]]=Closeout,VMT_27NB,VMT_27NB+(VMTChange_NB*(Table3D.1_DailyTTS_NB[[#This Row],[Year]]-2027)))</f>
        <v>701637.87600000005</v>
      </c>
      <c r="E12" s="164" cm="1">
        <f t="array" ref="E12">IF(Table3D.1_DailyTTS_NB[[#This Row],[Year]]=Closeout,VHT_27NB,VHT_27NB+(VHTChange_NB*(Table3D.1_DailyTTS_NB[[#This Row],[Year]]-2027)))</f>
        <v>14440.022933333334</v>
      </c>
      <c r="F12" s="164" cm="1">
        <f t="array" ref="F12">IF(Table3D.1_DailyTTS_NB[[#This Row],[Year]]=Closeout,MPH_27NB,MPH_27NB+(MPHChange_NB*(Table3D.1_DailyTTS_NB[[#This Row],[Year]]-2027)))</f>
        <v>47.948444444444441</v>
      </c>
      <c r="G12" s="164" cm="1">
        <f t="array" ref="G12">IF(Table3D.1_DailyTTS_NB[[#This Row],[Year]]=Closeout,DelayTot_27NB,DelayTot_27NB+(DelayTotChange_NB*(Table3D.1_DailyTTS_NB[[#This Row],[Year]]-2027)))</f>
        <v>982.63363722222221</v>
      </c>
      <c r="H12" s="165" cm="1">
        <f t="array" ref="H12">IF(Table3D.1_DailyTTS_NB[[#This Row],[Year]]=Closeout,AvgDelay_27NB,AvgDelay_27NB+(DelayChange_NB*(Table3D.1_DailyTTS_NB[[#This Row],[Year]]-2027)))</f>
        <v>4.5266790123456788E-3</v>
      </c>
    </row>
    <row r="13" spans="1:9">
      <c r="B13" s="122">
        <f>First_Year+'Appendix B. Project Information'!B23</f>
        <v>2026</v>
      </c>
      <c r="C13" s="217" cm="1">
        <f t="array" ref="C13">IF(Table3D.1_DailyTTS_NB[[#This Row],[Year]]=Closeout,Traffic_27NB,Traffic_27NB+(TrafChange_NB*(Table3D.1_DailyTTS_NB[[#This Row],[Year]]-2027)))</f>
        <v>220778.33333333334</v>
      </c>
      <c r="D13" s="164" cm="1">
        <f t="array" ref="D13">IF(Table3D.1_DailyTTS_NB[[#This Row],[Year]]=Closeout,VMT_27NB,VMT_27NB+(VMTChange_NB*(Table3D.1_DailyTTS_NB[[#This Row],[Year]]-2027)))</f>
        <v>704424.25300000003</v>
      </c>
      <c r="E13" s="164" cm="1">
        <f t="array" ref="E13">IF(Table3D.1_DailyTTS_NB[[#This Row],[Year]]=Closeout,VHT_27NB,VHT_27NB+(VHTChange_NB*(Table3D.1_DailyTTS_NB[[#This Row],[Year]]-2027)))</f>
        <v>14795.754456944444</v>
      </c>
      <c r="F13" s="164" cm="1">
        <f t="array" ref="F13">IF(Table3D.1_DailyTTS_NB[[#This Row],[Year]]=Closeout,MPH_27NB,MPH_27NB+(MPHChange_NB*(Table3D.1_DailyTTS_NB[[#This Row],[Year]]-2027)))</f>
        <v>47.572222222222223</v>
      </c>
      <c r="G13" s="164" cm="1">
        <f t="array" ref="G13">IF(Table3D.1_DailyTTS_NB[[#This Row],[Year]]=Closeout,DelayTot_27NB,DelayTot_27NB+(DelayTotChange_NB*(Table3D.1_DailyTTS_NB[[#This Row],[Year]]-2027)))</f>
        <v>1285.8986380555555</v>
      </c>
      <c r="H13" s="165" cm="1">
        <f t="array" ref="H13">IF(Table3D.1_DailyTTS_NB[[#This Row],[Year]]=Closeout,AvgDelay_27NB,AvgDelay_27NB+(DelayChange_NB*(Table3D.1_DailyTTS_NB[[#This Row],[Year]]-2027)))</f>
        <v>5.5335246913580244E-3</v>
      </c>
    </row>
    <row r="14" spans="1:9">
      <c r="B14" s="122">
        <f>First_Year+'Appendix B. Project Information'!B24</f>
        <v>2027</v>
      </c>
      <c r="C14" s="217" cm="1">
        <f t="array" ref="C14">IF(Table3D.1_DailyTTS_NB[[#This Row],[Year]]=Closeout,Traffic_27NB,Traffic_27NB+(TrafChange_NB*(Table3D.1_DailyTTS_NB[[#This Row],[Year]]-2027)))</f>
        <v>221892</v>
      </c>
      <c r="D14" s="164" cm="1">
        <f t="array" ref="D14">IF(Table3D.1_DailyTTS_NB[[#This Row],[Year]]=Closeout,VMT_27NB,VMT_27NB+(VMTChange_NB*(Table3D.1_DailyTTS_NB[[#This Row],[Year]]-2027)))</f>
        <v>707210.63</v>
      </c>
      <c r="E14" s="164" cm="1">
        <f t="array" ref="E14">IF(Table3D.1_DailyTTS_NB[[#This Row],[Year]]=Closeout,VHT_27NB,VHT_27NB+(VHTChange_NB*(Table3D.1_DailyTTS_NB[[#This Row],[Year]]-2027)))</f>
        <v>15151.485980555555</v>
      </c>
      <c r="F14" s="164" cm="1">
        <f t="array" ref="F14">IF(Table3D.1_DailyTTS_NB[[#This Row],[Year]]=Closeout,MPH_27NB,MPH_27NB+(MPHChange_NB*(Table3D.1_DailyTTS_NB[[#This Row],[Year]]-2027)))</f>
        <v>47.195999999999998</v>
      </c>
      <c r="G14" s="164" cm="1">
        <f t="array" ref="G14">IF(Table3D.1_DailyTTS_NB[[#This Row],[Year]]=Closeout,DelayTot_27NB,DelayTot_27NB+(DelayTotChange_NB*(Table3D.1_DailyTTS_NB[[#This Row],[Year]]-2027)))</f>
        <v>1589.1636388888887</v>
      </c>
      <c r="H14" s="165" cm="1">
        <f t="array" ref="H14">IF(Table3D.1_DailyTTS_NB[[#This Row],[Year]]=Closeout,AvgDelay_27NB,AvgDelay_27NB+(DelayChange_NB*(Table3D.1_DailyTTS_NB[[#This Row],[Year]]-2027)))</f>
        <v>6.5403703703703709E-3</v>
      </c>
    </row>
    <row r="15" spans="1:9">
      <c r="B15" s="122">
        <f>First_Year+'Appendix B. Project Information'!B25</f>
        <v>2028</v>
      </c>
      <c r="C15" s="172" cm="1">
        <f t="array" ref="C15">IF(Table3D.1_DailyTTS_NB[[#This Row],[Year]]=Closeout,Traffic_27NB,Traffic_27NB+(TrafChange_NB*(Table3D.1_DailyTTS_NB[[#This Row],[Year]]-2027)))</f>
        <v>223005.66666666666</v>
      </c>
      <c r="D15" s="164" cm="1">
        <f t="array" ref="D15">IF(Table3D.1_DailyTTS_NB[[#This Row],[Year]]=Closeout,VMT_27NB,VMT_27NB+(VMTChange_NB*(Table3D.1_DailyTTS_NB[[#This Row],[Year]]-2027)))</f>
        <v>709997.00699999998</v>
      </c>
      <c r="E15" s="164" cm="1">
        <f t="array" ref="E15">IF(Table3D.1_DailyTTS_NB[[#This Row],[Year]]=Closeout,VHT_27NB,VHT_27NB+(VHTChange_NB*(Table3D.1_DailyTTS_NB[[#This Row],[Year]]-2027)))</f>
        <v>15507.217504166667</v>
      </c>
      <c r="F15" s="164" cm="1">
        <f t="array" ref="F15">IF(Table3D.1_DailyTTS_NB[[#This Row],[Year]]=Closeout,MPH_27NB,MPH_27NB+(MPHChange_NB*(Table3D.1_DailyTTS_NB[[#This Row],[Year]]-2027)))</f>
        <v>46.819777777777773</v>
      </c>
      <c r="G15" s="164" cm="1">
        <f t="array" ref="G15">IF(Table3D.1_DailyTTS_NB[[#This Row],[Year]]=Closeout,DelayTot_27NB,DelayTot_27NB+(DelayTotChange_NB*(Table3D.1_DailyTTS_NB[[#This Row],[Year]]-2027)))</f>
        <v>1892.428639722222</v>
      </c>
      <c r="H15" s="165" cm="1">
        <f t="array" ref="H15">IF(Table3D.1_DailyTTS_NB[[#This Row],[Year]]=Closeout,AvgDelay_27NB,AvgDelay_27NB+(DelayChange_NB*(Table3D.1_DailyTTS_NB[[#This Row],[Year]]-2027)))</f>
        <v>7.5472160493827174E-3</v>
      </c>
    </row>
    <row r="16" spans="1:9">
      <c r="B16" s="122">
        <f>First_Year+'Appendix B. Project Information'!B26</f>
        <v>2029</v>
      </c>
      <c r="C16" s="172" cm="1">
        <f t="array" ref="C16">IF(Table3D.1_DailyTTS_NB[[#This Row],[Year]]=Closeout,Traffic_27NB,Traffic_27NB+(TrafChange_NB*(Table3D.1_DailyTTS_NB[[#This Row],[Year]]-2027)))</f>
        <v>224119.33333333334</v>
      </c>
      <c r="D16" s="164" cm="1">
        <f t="array" ref="D16">IF(Table3D.1_DailyTTS_NB[[#This Row],[Year]]=Closeout,VMT_27NB,VMT_27NB+(VMTChange_NB*(Table3D.1_DailyTTS_NB[[#This Row],[Year]]-2027)))</f>
        <v>712783.38399999996</v>
      </c>
      <c r="E16" s="164" cm="1">
        <f t="array" ref="E16">IF(Table3D.1_DailyTTS_NB[[#This Row],[Year]]=Closeout,VHT_27NB,VHT_27NB+(VHTChange_NB*(Table3D.1_DailyTTS_NB[[#This Row],[Year]]-2027)))</f>
        <v>15862.949027777777</v>
      </c>
      <c r="F16" s="164" cm="1">
        <f t="array" ref="F16">IF(Table3D.1_DailyTTS_NB[[#This Row],[Year]]=Closeout,MPH_27NB,MPH_27NB+(MPHChange_NB*(Table3D.1_DailyTTS_NB[[#This Row],[Year]]-2027)))</f>
        <v>46.443555555555555</v>
      </c>
      <c r="G16" s="164" cm="1">
        <f t="array" ref="G16">IF(Table3D.1_DailyTTS_NB[[#This Row],[Year]]=Closeout,DelayTot_27NB,DelayTot_27NB+(DelayTotChange_NB*(Table3D.1_DailyTTS_NB[[#This Row],[Year]]-2027)))</f>
        <v>2195.6936405555552</v>
      </c>
      <c r="H16" s="165" cm="1">
        <f t="array" ref="H16">IF(Table3D.1_DailyTTS_NB[[#This Row],[Year]]=Closeout,AvgDelay_27NB,AvgDelay_27NB+(DelayChange_NB*(Table3D.1_DailyTTS_NB[[#This Row],[Year]]-2027)))</f>
        <v>8.554061728395063E-3</v>
      </c>
    </row>
    <row r="17" spans="2:8">
      <c r="B17" s="122">
        <f>First_Year+'Appendix B. Project Information'!B27</f>
        <v>2030</v>
      </c>
      <c r="C17" s="172" cm="1">
        <f t="array" ref="C17">IF(Table3D.1_DailyTTS_NB[[#This Row],[Year]]=Closeout,Traffic_27NB,Traffic_27NB+(TrafChange_NB*(Table3D.1_DailyTTS_NB[[#This Row],[Year]]-2027)))</f>
        <v>225233</v>
      </c>
      <c r="D17" s="164" cm="1">
        <f t="array" ref="D17">IF(Table3D.1_DailyTTS_NB[[#This Row],[Year]]=Closeout,VMT_27NB,VMT_27NB+(VMTChange_NB*(Table3D.1_DailyTTS_NB[[#This Row],[Year]]-2027)))</f>
        <v>715569.76100000006</v>
      </c>
      <c r="E17" s="164" cm="1">
        <f t="array" ref="E17">IF(Table3D.1_DailyTTS_NB[[#This Row],[Year]]=Closeout,VHT_27NB,VHT_27NB+(VHTChange_NB*(Table3D.1_DailyTTS_NB[[#This Row],[Year]]-2027)))</f>
        <v>16218.680551388888</v>
      </c>
      <c r="F17" s="164" cm="1">
        <f t="array" ref="F17">IF(Table3D.1_DailyTTS_NB[[#This Row],[Year]]=Closeout,MPH_27NB,MPH_27NB+(MPHChange_NB*(Table3D.1_DailyTTS_NB[[#This Row],[Year]]-2027)))</f>
        <v>46.06733333333333</v>
      </c>
      <c r="G17" s="164" cm="1">
        <f t="array" ref="G17">IF(Table3D.1_DailyTTS_NB[[#This Row],[Year]]=Closeout,DelayTot_27NB,DelayTot_27NB+(DelayTotChange_NB*(Table3D.1_DailyTTS_NB[[#This Row],[Year]]-2027)))</f>
        <v>2498.9586413888883</v>
      </c>
      <c r="H17" s="165" cm="1">
        <f t="array" ref="H17">IF(Table3D.1_DailyTTS_NB[[#This Row],[Year]]=Closeout,AvgDelay_27NB,AvgDelay_27NB+(DelayChange_NB*(Table3D.1_DailyTTS_NB[[#This Row],[Year]]-2027)))</f>
        <v>9.5609074074074086E-3</v>
      </c>
    </row>
    <row r="18" spans="2:8">
      <c r="B18" s="122">
        <f>First_Year+'Appendix B. Project Information'!B28</f>
        <v>2031</v>
      </c>
      <c r="C18" s="172" cm="1">
        <f t="array" ref="C18">IF(Table3D.1_DailyTTS_NB[[#This Row],[Year]]=Closeout,Traffic_27NB,Traffic_27NB+(TrafChange_NB*(Table3D.1_DailyTTS_NB[[#This Row],[Year]]-2027)))</f>
        <v>226346.66666666666</v>
      </c>
      <c r="D18" s="164" cm="1">
        <f t="array" ref="D18">IF(Table3D.1_DailyTTS_NB[[#This Row],[Year]]=Closeout,VMT_27NB,VMT_27NB+(VMTChange_NB*(Table3D.1_DailyTTS_NB[[#This Row],[Year]]-2027)))</f>
        <v>718356.13800000004</v>
      </c>
      <c r="E18" s="164" cm="1">
        <f t="array" ref="E18">IF(Table3D.1_DailyTTS_NB[[#This Row],[Year]]=Closeout,VHT_27NB,VHT_27NB+(VHTChange_NB*(Table3D.1_DailyTTS_NB[[#This Row],[Year]]-2027)))</f>
        <v>16574.412075</v>
      </c>
      <c r="F18" s="164" cm="1">
        <f t="array" ref="F18">IF(Table3D.1_DailyTTS_NB[[#This Row],[Year]]=Closeout,MPH_27NB,MPH_27NB+(MPHChange_NB*(Table3D.1_DailyTTS_NB[[#This Row],[Year]]-2027)))</f>
        <v>45.691111111111105</v>
      </c>
      <c r="G18" s="164" cm="1">
        <f t="array" ref="G18">IF(Table3D.1_DailyTTS_NB[[#This Row],[Year]]=Closeout,DelayTot_27NB,DelayTot_27NB+(DelayTotChange_NB*(Table3D.1_DailyTTS_NB[[#This Row],[Year]]-2027)))</f>
        <v>2802.2236422222218</v>
      </c>
      <c r="H18" s="165" cm="1">
        <f t="array" ref="H18">IF(Table3D.1_DailyTTS_NB[[#This Row],[Year]]=Closeout,AvgDelay_27NB,AvgDelay_27NB+(DelayChange_NB*(Table3D.1_DailyTTS_NB[[#This Row],[Year]]-2027)))</f>
        <v>1.0567753086419756E-2</v>
      </c>
    </row>
    <row r="19" spans="2:8">
      <c r="B19" s="122">
        <f>First_Year+'Appendix B. Project Information'!B29</f>
        <v>2032</v>
      </c>
      <c r="C19" s="172" cm="1">
        <f t="array" ref="C19">IF(Table3D.1_DailyTTS_NB[[#This Row],[Year]]=Closeout,Traffic_27NB,Traffic_27NB+(TrafChange_NB*(Table3D.1_DailyTTS_NB[[#This Row],[Year]]-2027)))</f>
        <v>227460.33333333334</v>
      </c>
      <c r="D19" s="164" cm="1">
        <f t="array" ref="D19">IF(Table3D.1_DailyTTS_NB[[#This Row],[Year]]=Closeout,VMT_27NB,VMT_27NB+(VMTChange_NB*(Table3D.1_DailyTTS_NB[[#This Row],[Year]]-2027)))</f>
        <v>721142.51500000001</v>
      </c>
      <c r="E19" s="164" cm="1">
        <f t="array" ref="E19">IF(Table3D.1_DailyTTS_NB[[#This Row],[Year]]=Closeout,VHT_27NB,VHT_27NB+(VHTChange_NB*(Table3D.1_DailyTTS_NB[[#This Row],[Year]]-2027)))</f>
        <v>16930.14359861111</v>
      </c>
      <c r="F19" s="164" cm="1">
        <f t="array" ref="F19">IF(Table3D.1_DailyTTS_NB[[#This Row],[Year]]=Closeout,MPH_27NB,MPH_27NB+(MPHChange_NB*(Table3D.1_DailyTTS_NB[[#This Row],[Year]]-2027)))</f>
        <v>45.314888888888888</v>
      </c>
      <c r="G19" s="164" cm="1">
        <f t="array" ref="G19">IF(Table3D.1_DailyTTS_NB[[#This Row],[Year]]=Closeout,DelayTot_27NB,DelayTot_27NB+(DelayTotChange_NB*(Table3D.1_DailyTTS_NB[[#This Row],[Year]]-2027)))</f>
        <v>3105.4886430555553</v>
      </c>
      <c r="H19" s="165" cm="1">
        <f t="array" ref="H19">IF(Table3D.1_DailyTTS_NB[[#This Row],[Year]]=Closeout,AvgDelay_27NB,AvgDelay_27NB+(DelayChange_NB*(Table3D.1_DailyTTS_NB[[#This Row],[Year]]-2027)))</f>
        <v>1.1574598765432102E-2</v>
      </c>
    </row>
    <row r="20" spans="2:8">
      <c r="B20" s="122">
        <f>First_Year+'Appendix B. Project Information'!B30</f>
        <v>2033</v>
      </c>
      <c r="C20" s="172" cm="1">
        <f t="array" ref="C20">IF(Table3D.1_DailyTTS_NB[[#This Row],[Year]]=Closeout,Traffic_27NB,Traffic_27NB+(TrafChange_NB*(Table3D.1_DailyTTS_NB[[#This Row],[Year]]-2027)))</f>
        <v>228574</v>
      </c>
      <c r="D20" s="164" cm="1">
        <f t="array" ref="D20">IF(Table3D.1_DailyTTS_NB[[#This Row],[Year]]=Closeout,VMT_27NB,VMT_27NB+(VMTChange_NB*(Table3D.1_DailyTTS_NB[[#This Row],[Year]]-2027)))</f>
        <v>723928.89199999999</v>
      </c>
      <c r="E20" s="164" cm="1">
        <f t="array" ref="E20">IF(Table3D.1_DailyTTS_NB[[#This Row],[Year]]=Closeout,VHT_27NB,VHT_27NB+(VHTChange_NB*(Table3D.1_DailyTTS_NB[[#This Row],[Year]]-2027)))</f>
        <v>17285.87512222222</v>
      </c>
      <c r="F20" s="164" cm="1">
        <f t="array" ref="F20">IF(Table3D.1_DailyTTS_NB[[#This Row],[Year]]=Closeout,MPH_27NB,MPH_27NB+(MPHChange_NB*(Table3D.1_DailyTTS_NB[[#This Row],[Year]]-2027)))</f>
        <v>44.938666666666663</v>
      </c>
      <c r="G20" s="164" cm="1">
        <f t="array" ref="G20">IF(Table3D.1_DailyTTS_NB[[#This Row],[Year]]=Closeout,DelayTot_27NB,DelayTot_27NB+(DelayTotChange_NB*(Table3D.1_DailyTTS_NB[[#This Row],[Year]]-2027)))</f>
        <v>3408.7536438888883</v>
      </c>
      <c r="H20" s="165" cm="1">
        <f t="array" ref="H20">IF(Table3D.1_DailyTTS_NB[[#This Row],[Year]]=Closeout,AvgDelay_27NB,AvgDelay_27NB+(DelayChange_NB*(Table3D.1_DailyTTS_NB[[#This Row],[Year]]-2027)))</f>
        <v>1.2581444444444447E-2</v>
      </c>
    </row>
    <row r="21" spans="2:8">
      <c r="B21" s="122">
        <f>First_Year+'Appendix B. Project Information'!B31</f>
        <v>2034</v>
      </c>
      <c r="C21" s="172" cm="1">
        <f t="array" ref="C21">IF(Table3D.1_DailyTTS_NB[[#This Row],[Year]]=Closeout,Traffic_27NB,Traffic_27NB+(TrafChange_NB*(Table3D.1_DailyTTS_NB[[#This Row],[Year]]-2027)))</f>
        <v>229687.66666666666</v>
      </c>
      <c r="D21" s="164" cm="1">
        <f t="array" ref="D21">IF(Table3D.1_DailyTTS_NB[[#This Row],[Year]]=Closeout,VMT_27NB,VMT_27NB+(VMTChange_NB*(Table3D.1_DailyTTS_NB[[#This Row],[Year]]-2027)))</f>
        <v>726715.26899999997</v>
      </c>
      <c r="E21" s="164" cm="1">
        <f t="array" ref="E21">IF(Table3D.1_DailyTTS_NB[[#This Row],[Year]]=Closeout,VHT_27NB,VHT_27NB+(VHTChange_NB*(Table3D.1_DailyTTS_NB[[#This Row],[Year]]-2027)))</f>
        <v>17641.606645833333</v>
      </c>
      <c r="F21" s="164" cm="1">
        <f t="array" ref="F21">IF(Table3D.1_DailyTTS_NB[[#This Row],[Year]]=Closeout,MPH_27NB,MPH_27NB+(MPHChange_NB*(Table3D.1_DailyTTS_NB[[#This Row],[Year]]-2027)))</f>
        <v>44.562444444444438</v>
      </c>
      <c r="G21" s="164" cm="1">
        <f t="array" ref="G21">IF(Table3D.1_DailyTTS_NB[[#This Row],[Year]]=Closeout,DelayTot_27NB,DelayTot_27NB+(DelayTotChange_NB*(Table3D.1_DailyTTS_NB[[#This Row],[Year]]-2027)))</f>
        <v>3712.0186447222218</v>
      </c>
      <c r="H21" s="165" cm="1">
        <f t="array" ref="H21">IF(Table3D.1_DailyTTS_NB[[#This Row],[Year]]=Closeout,AvgDelay_27NB,AvgDelay_27NB+(DelayChange_NB*(Table3D.1_DailyTTS_NB[[#This Row],[Year]]-2027)))</f>
        <v>1.3588290123456793E-2</v>
      </c>
    </row>
    <row r="22" spans="2:8">
      <c r="B22" s="122">
        <f>First_Year+'Appendix B. Project Information'!B32</f>
        <v>2035</v>
      </c>
      <c r="C22" s="172" cm="1">
        <f t="array" ref="C22">IF(Table3D.1_DailyTTS_NB[[#This Row],[Year]]=Closeout,Traffic_27NB,Traffic_27NB+(TrafChange_NB*(Table3D.1_DailyTTS_NB[[#This Row],[Year]]-2027)))</f>
        <v>230801.33333333334</v>
      </c>
      <c r="D22" s="164" cm="1">
        <f t="array" ref="D22">IF(Table3D.1_DailyTTS_NB[[#This Row],[Year]]=Closeout,VMT_27NB,VMT_27NB+(VMTChange_NB*(Table3D.1_DailyTTS_NB[[#This Row],[Year]]-2027)))</f>
        <v>729501.64600000007</v>
      </c>
      <c r="E22" s="164" cm="1">
        <f t="array" ref="E22">IF(Table3D.1_DailyTTS_NB[[#This Row],[Year]]=Closeout,VHT_27NB,VHT_27NB+(VHTChange_NB*(Table3D.1_DailyTTS_NB[[#This Row],[Year]]-2027)))</f>
        <v>17997.338169444443</v>
      </c>
      <c r="F22" s="164" cm="1">
        <f t="array" ref="F22">IF(Table3D.1_DailyTTS_NB[[#This Row],[Year]]=Closeout,MPH_27NB,MPH_27NB+(MPHChange_NB*(Table3D.1_DailyTTS_NB[[#This Row],[Year]]-2027)))</f>
        <v>44.18622222222222</v>
      </c>
      <c r="G22" s="164" cm="1">
        <f t="array" ref="G22">IF(Table3D.1_DailyTTS_NB[[#This Row],[Year]]=Closeout,DelayTot_27NB,DelayTot_27NB+(DelayTotChange_NB*(Table3D.1_DailyTTS_NB[[#This Row],[Year]]-2027)))</f>
        <v>4015.2836455555548</v>
      </c>
      <c r="H22" s="165" cm="1">
        <f t="array" ref="H22">IF(Table3D.1_DailyTTS_NB[[#This Row],[Year]]=Closeout,AvgDelay_27NB,AvgDelay_27NB+(DelayChange_NB*(Table3D.1_DailyTTS_NB[[#This Row],[Year]]-2027)))</f>
        <v>1.4595135802469138E-2</v>
      </c>
    </row>
    <row r="23" spans="2:8">
      <c r="B23" s="122">
        <f>First_Year+'Appendix B. Project Information'!B33</f>
        <v>2036</v>
      </c>
      <c r="C23" s="172" cm="1">
        <f t="array" ref="C23">IF(Table3D.1_DailyTTS_NB[[#This Row],[Year]]=Closeout,Traffic_27NB,Traffic_27NB+(TrafChange_NB*(Table3D.1_DailyTTS_NB[[#This Row],[Year]]-2027)))</f>
        <v>231915</v>
      </c>
      <c r="D23" s="164" cm="1">
        <f t="array" ref="D23">IF(Table3D.1_DailyTTS_NB[[#This Row],[Year]]=Closeout,VMT_27NB,VMT_27NB+(VMTChange_NB*(Table3D.1_DailyTTS_NB[[#This Row],[Year]]-2027)))</f>
        <v>732288.02300000004</v>
      </c>
      <c r="E23" s="164" cm="1">
        <f t="array" ref="E23">IF(Table3D.1_DailyTTS_NB[[#This Row],[Year]]=Closeout,VHT_27NB,VHT_27NB+(VHTChange_NB*(Table3D.1_DailyTTS_NB[[#This Row],[Year]]-2027)))</f>
        <v>18353.069693055557</v>
      </c>
      <c r="F23" s="164" cm="1">
        <f t="array" ref="F23">IF(Table3D.1_DailyTTS_NB[[#This Row],[Year]]=Closeout,MPH_27NB,MPH_27NB+(MPHChange_NB*(Table3D.1_DailyTTS_NB[[#This Row],[Year]]-2027)))</f>
        <v>43.809999999999995</v>
      </c>
      <c r="G23" s="164" cm="1">
        <f t="array" ref="G23">IF(Table3D.1_DailyTTS_NB[[#This Row],[Year]]=Closeout,DelayTot_27NB,DelayTot_27NB+(DelayTotChange_NB*(Table3D.1_DailyTTS_NB[[#This Row],[Year]]-2027)))</f>
        <v>4318.5486463888883</v>
      </c>
      <c r="H23" s="165" cm="1">
        <f t="array" ref="H23">IF(Table3D.1_DailyTTS_NB[[#This Row],[Year]]=Closeout,AvgDelay_27NB,AvgDelay_27NB+(DelayChange_NB*(Table3D.1_DailyTTS_NB[[#This Row],[Year]]-2027)))</f>
        <v>1.5601981481481484E-2</v>
      </c>
    </row>
    <row r="24" spans="2:8">
      <c r="B24" s="122">
        <f>First_Year+'Appendix B. Project Information'!B34</f>
        <v>2037</v>
      </c>
      <c r="C24" s="172" cm="1">
        <f t="array" ref="C24">IF(Table3D.1_DailyTTS_NB[[#This Row],[Year]]=Closeout,Traffic_27NB,Traffic_27NB+(TrafChange_NB*(Table3D.1_DailyTTS_NB[[#This Row],[Year]]-2027)))</f>
        <v>233028.66666666666</v>
      </c>
      <c r="D24" s="164" cm="1">
        <f t="array" ref="D24">IF(Table3D.1_DailyTTS_NB[[#This Row],[Year]]=Closeout,VMT_27NB,VMT_27NB+(VMTChange_NB*(Table3D.1_DailyTTS_NB[[#This Row],[Year]]-2027)))</f>
        <v>735074.4</v>
      </c>
      <c r="E24" s="164" cm="1">
        <f t="array" ref="E24">IF(Table3D.1_DailyTTS_NB[[#This Row],[Year]]=Closeout,VHT_27NB,VHT_27NB+(VHTChange_NB*(Table3D.1_DailyTTS_NB[[#This Row],[Year]]-2027)))</f>
        <v>18708.801216666667</v>
      </c>
      <c r="F24" s="164" cm="1">
        <f t="array" ref="F24">IF(Table3D.1_DailyTTS_NB[[#This Row],[Year]]=Closeout,MPH_27NB,MPH_27NB+(MPHChange_NB*(Table3D.1_DailyTTS_NB[[#This Row],[Year]]-2027)))</f>
        <v>43.43377777777777</v>
      </c>
      <c r="G24" s="164" cm="1">
        <f t="array" ref="G24">IF(Table3D.1_DailyTTS_NB[[#This Row],[Year]]=Closeout,DelayTot_27NB,DelayTot_27NB+(DelayTotChange_NB*(Table3D.1_DailyTTS_NB[[#This Row],[Year]]-2027)))</f>
        <v>4621.8136472222213</v>
      </c>
      <c r="H24" s="165" cm="1">
        <f t="array" ref="H24">IF(Table3D.1_DailyTTS_NB[[#This Row],[Year]]=Closeout,AvgDelay_27NB,AvgDelay_27NB+(DelayChange_NB*(Table3D.1_DailyTTS_NB[[#This Row],[Year]]-2027)))</f>
        <v>1.660882716049383E-2</v>
      </c>
    </row>
    <row r="25" spans="2:8">
      <c r="B25" s="122">
        <f>First_Year+'Appendix B. Project Information'!B35</f>
        <v>2038</v>
      </c>
      <c r="C25" s="172" cm="1">
        <f t="array" ref="C25">IF(Table3D.1_DailyTTS_NB[[#This Row],[Year]]=Closeout,Traffic_27NB,Traffic_27NB+(TrafChange_NB*(Table3D.1_DailyTTS_NB[[#This Row],[Year]]-2027)))</f>
        <v>234142.33333333334</v>
      </c>
      <c r="D25" s="164" cm="1">
        <f t="array" ref="D25">IF(Table3D.1_DailyTTS_NB[[#This Row],[Year]]=Closeout,VMT_27NB,VMT_27NB+(VMTChange_NB*(Table3D.1_DailyTTS_NB[[#This Row],[Year]]-2027)))</f>
        <v>737860.777</v>
      </c>
      <c r="E25" s="164" cm="1">
        <f t="array" ref="E25">IF(Table3D.1_DailyTTS_NB[[#This Row],[Year]]=Closeout,VHT_27NB,VHT_27NB+(VHTChange_NB*(Table3D.1_DailyTTS_NB[[#This Row],[Year]]-2027)))</f>
        <v>19064.532740277777</v>
      </c>
      <c r="F25" s="164" cm="1">
        <f t="array" ref="F25">IF(Table3D.1_DailyTTS_NB[[#This Row],[Year]]=Closeout,MPH_27NB,MPH_27NB+(MPHChange_NB*(Table3D.1_DailyTTS_NB[[#This Row],[Year]]-2027)))</f>
        <v>43.057555555555552</v>
      </c>
      <c r="G25" s="164" cm="1">
        <f t="array" ref="G25">IF(Table3D.1_DailyTTS_NB[[#This Row],[Year]]=Closeout,DelayTot_27NB,DelayTot_27NB+(DelayTotChange_NB*(Table3D.1_DailyTTS_NB[[#This Row],[Year]]-2027)))</f>
        <v>4925.0786480555544</v>
      </c>
      <c r="H25" s="165" cm="1">
        <f t="array" ref="H25">IF(Table3D.1_DailyTTS_NB[[#This Row],[Year]]=Closeout,AvgDelay_27NB,AvgDelay_27NB+(DelayChange_NB*(Table3D.1_DailyTTS_NB[[#This Row],[Year]]-2027)))</f>
        <v>1.7615672839506179E-2</v>
      </c>
    </row>
    <row r="26" spans="2:8">
      <c r="B26" s="122">
        <f>First_Year+'Appendix B. Project Information'!B36</f>
        <v>2039</v>
      </c>
      <c r="C26" s="172" cm="1">
        <f t="array" ref="C26">IF(Table3D.1_DailyTTS_NB[[#This Row],[Year]]=Closeout,Traffic_27NB,Traffic_27NB+(TrafChange_NB*(Table3D.1_DailyTTS_NB[[#This Row],[Year]]-2027)))</f>
        <v>235256</v>
      </c>
      <c r="D26" s="164" cm="1">
        <f t="array" ref="D26">IF(Table3D.1_DailyTTS_NB[[#This Row],[Year]]=Closeout,VMT_27NB,VMT_27NB+(VMTChange_NB*(Table3D.1_DailyTTS_NB[[#This Row],[Year]]-2027)))</f>
        <v>740647.15399999998</v>
      </c>
      <c r="E26" s="164" cm="1">
        <f t="array" ref="E26">IF(Table3D.1_DailyTTS_NB[[#This Row],[Year]]=Closeout,VHT_27NB,VHT_27NB+(VHTChange_NB*(Table3D.1_DailyTTS_NB[[#This Row],[Year]]-2027)))</f>
        <v>19420.264263888886</v>
      </c>
      <c r="F26" s="164" cm="1">
        <f t="array" ref="F26">IF(Table3D.1_DailyTTS_NB[[#This Row],[Year]]=Closeout,MPH_27NB,MPH_27NB+(MPHChange_NB*(Table3D.1_DailyTTS_NB[[#This Row],[Year]]-2027)))</f>
        <v>42.681333333333328</v>
      </c>
      <c r="G26" s="164" cm="1">
        <f t="array" ref="G26">IF(Table3D.1_DailyTTS_NB[[#This Row],[Year]]=Closeout,DelayTot_27NB,DelayTot_27NB+(DelayTotChange_NB*(Table3D.1_DailyTTS_NB[[#This Row],[Year]]-2027)))</f>
        <v>5228.3436488888874</v>
      </c>
      <c r="H26" s="165" cm="1">
        <f t="array" ref="H26">IF(Table3D.1_DailyTTS_NB[[#This Row],[Year]]=Closeout,AvgDelay_27NB,AvgDelay_27NB+(DelayChange_NB*(Table3D.1_DailyTTS_NB[[#This Row],[Year]]-2027)))</f>
        <v>1.8622518518518524E-2</v>
      </c>
    </row>
    <row r="27" spans="2:8">
      <c r="B27" s="122">
        <f>First_Year+'Appendix B. Project Information'!B37</f>
        <v>2040</v>
      </c>
      <c r="C27" s="172" cm="1">
        <f t="array" ref="C27">IF(Table3D.1_DailyTTS_NB[[#This Row],[Year]]=Closeout,Traffic_27NB,Traffic_27NB+(TrafChange_NB*(Table3D.1_DailyTTS_NB[[#This Row],[Year]]-2027)))</f>
        <v>236369.66666666666</v>
      </c>
      <c r="D27" s="164" cm="1">
        <f t="array" ref="D27">IF(Table3D.1_DailyTTS_NB[[#This Row],[Year]]=Closeout,VMT_27NB,VMT_27NB+(VMTChange_NB*(Table3D.1_DailyTTS_NB[[#This Row],[Year]]-2027)))</f>
        <v>743433.53100000008</v>
      </c>
      <c r="E27" s="164" cm="1">
        <f t="array" ref="E27">IF(Table3D.1_DailyTTS_NB[[#This Row],[Year]]=Closeout,VHT_27NB,VHT_27NB+(VHTChange_NB*(Table3D.1_DailyTTS_NB[[#This Row],[Year]]-2027)))</f>
        <v>19775.9957875</v>
      </c>
      <c r="F27" s="164" cm="1">
        <f t="array" ref="F27">IF(Table3D.1_DailyTTS_NB[[#This Row],[Year]]=Closeout,MPH_27NB,MPH_27NB+(MPHChange_NB*(Table3D.1_DailyTTS_NB[[#This Row],[Year]]-2027)))</f>
        <v>42.305111111111103</v>
      </c>
      <c r="G27" s="164" cm="1">
        <f t="array" ref="G27">IF(Table3D.1_DailyTTS_NB[[#This Row],[Year]]=Closeout,DelayTot_27NB,DelayTot_27NB+(DelayTotChange_NB*(Table3D.1_DailyTTS_NB[[#This Row],[Year]]-2027)))</f>
        <v>5531.6086497222204</v>
      </c>
      <c r="H27" s="165" cm="1">
        <f t="array" ref="H27">IF(Table3D.1_DailyTTS_NB[[#This Row],[Year]]=Closeout,AvgDelay_27NB,AvgDelay_27NB+(DelayChange_NB*(Table3D.1_DailyTTS_NB[[#This Row],[Year]]-2027)))</f>
        <v>1.962936419753087E-2</v>
      </c>
    </row>
    <row r="28" spans="2:8">
      <c r="B28" s="122">
        <f>First_Year+'Appendix B. Project Information'!B38</f>
        <v>2041</v>
      </c>
      <c r="C28" s="172" cm="1">
        <f t="array" ref="C28">IF(Table3D.1_DailyTTS_NB[[#This Row],[Year]]=Closeout,Traffic_27NB,Traffic_27NB+(TrafChange_NB*(Table3D.1_DailyTTS_NB[[#This Row],[Year]]-2027)))</f>
        <v>237483.33333333334</v>
      </c>
      <c r="D28" s="164" cm="1">
        <f t="array" ref="D28">IF(Table3D.1_DailyTTS_NB[[#This Row],[Year]]=Closeout,VMT_27NB,VMT_27NB+(VMTChange_NB*(Table3D.1_DailyTTS_NB[[#This Row],[Year]]-2027)))</f>
        <v>746219.90800000005</v>
      </c>
      <c r="E28" s="164" cm="1">
        <f t="array" ref="E28">IF(Table3D.1_DailyTTS_NB[[#This Row],[Year]]=Closeout,VHT_27NB,VHT_27NB+(VHTChange_NB*(Table3D.1_DailyTTS_NB[[#This Row],[Year]]-2027)))</f>
        <v>20131.72731111111</v>
      </c>
      <c r="F28" s="164" cm="1">
        <f t="array" ref="F28">IF(Table3D.1_DailyTTS_NB[[#This Row],[Year]]=Closeout,MPH_27NB,MPH_27NB+(MPHChange_NB*(Table3D.1_DailyTTS_NB[[#This Row],[Year]]-2027)))</f>
        <v>41.928888888888885</v>
      </c>
      <c r="G28" s="164" cm="1">
        <f t="array" ref="G28">IF(Table3D.1_DailyTTS_NB[[#This Row],[Year]]=Closeout,DelayTot_27NB,DelayTot_27NB+(DelayTotChange_NB*(Table3D.1_DailyTTS_NB[[#This Row],[Year]]-2027)))</f>
        <v>5834.8736505555553</v>
      </c>
      <c r="H28" s="165" cm="1">
        <f t="array" ref="H28">IF(Table3D.1_DailyTTS_NB[[#This Row],[Year]]=Closeout,AvgDelay_27NB,AvgDelay_27NB+(DelayChange_NB*(Table3D.1_DailyTTS_NB[[#This Row],[Year]]-2027)))</f>
        <v>2.0636209876543216E-2</v>
      </c>
    </row>
    <row r="29" spans="2:8">
      <c r="B29" s="122">
        <f>First_Year+'Appendix B. Project Information'!B39</f>
        <v>2042</v>
      </c>
      <c r="C29" s="172" cm="1">
        <f t="array" ref="C29">IF(Table3D.1_DailyTTS_NB[[#This Row],[Year]]=Closeout,Traffic_27NB,Traffic_27NB+(TrafChange_NB*(Table3D.1_DailyTTS_NB[[#This Row],[Year]]-2027)))</f>
        <v>238597</v>
      </c>
      <c r="D29" s="164" cm="1">
        <f t="array" ref="D29">IF(Table3D.1_DailyTTS_NB[[#This Row],[Year]]=Closeout,VMT_27NB,VMT_27NB+(VMTChange_NB*(Table3D.1_DailyTTS_NB[[#This Row],[Year]]-2027)))</f>
        <v>749006.28500000003</v>
      </c>
      <c r="E29" s="164" cm="1">
        <f t="array" ref="E29">IF(Table3D.1_DailyTTS_NB[[#This Row],[Year]]=Closeout,VHT_27NB,VHT_27NB+(VHTChange_NB*(Table3D.1_DailyTTS_NB[[#This Row],[Year]]-2027)))</f>
        <v>20487.458834722223</v>
      </c>
      <c r="F29" s="164" cm="1">
        <f t="array" ref="F29">IF(Table3D.1_DailyTTS_NB[[#This Row],[Year]]=Closeout,MPH_27NB,MPH_27NB+(MPHChange_NB*(Table3D.1_DailyTTS_NB[[#This Row],[Year]]-2027)))</f>
        <v>41.55266666666666</v>
      </c>
      <c r="G29" s="164" cm="1">
        <f t="array" ref="G29">IF(Table3D.1_DailyTTS_NB[[#This Row],[Year]]=Closeout,DelayTot_27NB,DelayTot_27NB+(DelayTotChange_NB*(Table3D.1_DailyTTS_NB[[#This Row],[Year]]-2027)))</f>
        <v>6138.1386513888883</v>
      </c>
      <c r="H29" s="165" cm="1">
        <f t="array" ref="H29">IF(Table3D.1_DailyTTS_NB[[#This Row],[Year]]=Closeout,AvgDelay_27NB,AvgDelay_27NB+(DelayChange_NB*(Table3D.1_DailyTTS_NB[[#This Row],[Year]]-2027)))</f>
        <v>2.1643055555555561E-2</v>
      </c>
    </row>
    <row r="30" spans="2:8">
      <c r="B30" s="122">
        <f>First_Year+'Appendix B. Project Information'!B40</f>
        <v>2043</v>
      </c>
      <c r="C30" s="172" cm="1">
        <f t="array" ref="C30">IF(Table3D.1_DailyTTS_NB[[#This Row],[Year]]=Closeout,Traffic_27NB,Traffic_27NB+(TrafChange_NB*(Table3D.1_DailyTTS_NB[[#This Row],[Year]]-2027)))</f>
        <v>239710.66666666666</v>
      </c>
      <c r="D30" s="164" cm="1">
        <f t="array" ref="D30">IF(Table3D.1_DailyTTS_NB[[#This Row],[Year]]=Closeout,VMT_27NB,VMT_27NB+(VMTChange_NB*(Table3D.1_DailyTTS_NB[[#This Row],[Year]]-2027)))</f>
        <v>751792.66200000001</v>
      </c>
      <c r="E30" s="164" cm="1">
        <f t="array" ref="E30">IF(Table3D.1_DailyTTS_NB[[#This Row],[Year]]=Closeout,VHT_27NB,VHT_27NB+(VHTChange_NB*(Table3D.1_DailyTTS_NB[[#This Row],[Year]]-2027)))</f>
        <v>20843.190358333333</v>
      </c>
      <c r="F30" s="164" cm="1">
        <f t="array" ref="F30">IF(Table3D.1_DailyTTS_NB[[#This Row],[Year]]=Closeout,MPH_27NB,MPH_27NB+(MPHChange_NB*(Table3D.1_DailyTTS_NB[[#This Row],[Year]]-2027)))</f>
        <v>41.176444444444435</v>
      </c>
      <c r="G30" s="164" cm="1">
        <f t="array" ref="G30">IF(Table3D.1_DailyTTS_NB[[#This Row],[Year]]=Closeout,DelayTot_27NB,DelayTot_27NB+(DelayTotChange_NB*(Table3D.1_DailyTTS_NB[[#This Row],[Year]]-2027)))</f>
        <v>6441.4036522222214</v>
      </c>
      <c r="H30" s="165" cm="1">
        <f t="array" ref="H30">IF(Table3D.1_DailyTTS_NB[[#This Row],[Year]]=Closeout,AvgDelay_27NB,AvgDelay_27NB+(DelayChange_NB*(Table3D.1_DailyTTS_NB[[#This Row],[Year]]-2027)))</f>
        <v>2.2649901234567907E-2</v>
      </c>
    </row>
    <row r="31" spans="2:8">
      <c r="B31" s="122">
        <f>First_Year+'Appendix B. Project Information'!B41</f>
        <v>2044</v>
      </c>
      <c r="C31" s="172" cm="1">
        <f t="array" ref="C31">IF(Table3D.1_DailyTTS_NB[[#This Row],[Year]]=Closeout,Traffic_27NB,Traffic_27NB+(TrafChange_NB*(Table3D.1_DailyTTS_NB[[#This Row],[Year]]-2027)))</f>
        <v>240824.33333333334</v>
      </c>
      <c r="D31" s="164" cm="1">
        <f t="array" ref="D31">IF(Table3D.1_DailyTTS_NB[[#This Row],[Year]]=Closeout,VMT_27NB,VMT_27NB+(VMTChange_NB*(Table3D.1_DailyTTS_NB[[#This Row],[Year]]-2027)))</f>
        <v>754579.03899999999</v>
      </c>
      <c r="E31" s="164" cm="1">
        <f t="array" ref="E31">IF(Table3D.1_DailyTTS_NB[[#This Row],[Year]]=Closeout,VHT_27NB,VHT_27NB+(VHTChange_NB*(Table3D.1_DailyTTS_NB[[#This Row],[Year]]-2027)))</f>
        <v>21198.921881944443</v>
      </c>
      <c r="F31" s="164" cm="1">
        <f t="array" ref="F31">IF(Table3D.1_DailyTTS_NB[[#This Row],[Year]]=Closeout,MPH_27NB,MPH_27NB+(MPHChange_NB*(Table3D.1_DailyTTS_NB[[#This Row],[Year]]-2027)))</f>
        <v>40.800222222222217</v>
      </c>
      <c r="G31" s="164" cm="1">
        <f t="array" ref="G31">IF(Table3D.1_DailyTTS_NB[[#This Row],[Year]]=Closeout,DelayTot_27NB,DelayTot_27NB+(DelayTotChange_NB*(Table3D.1_DailyTTS_NB[[#This Row],[Year]]-2027)))</f>
        <v>6744.6686530555544</v>
      </c>
      <c r="H31" s="165" cm="1">
        <f t="array" ref="H31">IF(Table3D.1_DailyTTS_NB[[#This Row],[Year]]=Closeout,AvgDelay_27NB,AvgDelay_27NB+(DelayChange_NB*(Table3D.1_DailyTTS_NB[[#This Row],[Year]]-2027)))</f>
        <v>2.3656746913580252E-2</v>
      </c>
    </row>
    <row r="32" spans="2:8">
      <c r="B32" s="122">
        <f>First_Year+'Appendix B. Project Information'!B42</f>
        <v>2045</v>
      </c>
      <c r="C32" s="172" cm="1">
        <f t="array" ref="C32">IF(Table3D.1_DailyTTS_NB[[#This Row],[Year]]=Closeout,Traffic_27NB,Traffic_27NB+(TrafChange_NB*(Table3D.1_DailyTTS_NB[[#This Row],[Year]]-2027)))</f>
        <v>241938</v>
      </c>
      <c r="D32" s="164" cm="1">
        <f t="array" ref="D32">IF(Table3D.1_DailyTTS_NB[[#This Row],[Year]]=Closeout,VMT_27NB,VMT_27NB+(VMTChange_NB*(Table3D.1_DailyTTS_NB[[#This Row],[Year]]-2027)))</f>
        <v>757365.41600000008</v>
      </c>
      <c r="E32" s="164" cm="1">
        <f t="array" ref="E32">IF(Table3D.1_DailyTTS_NB[[#This Row],[Year]]=Closeout,VHT_27NB,VHT_27NB+(VHTChange_NB*(Table3D.1_DailyTTS_NB[[#This Row],[Year]]-2027)))</f>
        <v>21554.653405555557</v>
      </c>
      <c r="F32" s="164" cm="1">
        <f t="array" ref="F32">IF(Table3D.1_DailyTTS_NB[[#This Row],[Year]]=Closeout,MPH_27NB,MPH_27NB+(MPHChange_NB*(Table3D.1_DailyTTS_NB[[#This Row],[Year]]-2027)))</f>
        <v>40.423999999999992</v>
      </c>
      <c r="G32" s="164" cm="1">
        <f t="array" ref="G32">IF(Table3D.1_DailyTTS_NB[[#This Row],[Year]]=Closeout,DelayTot_27NB,DelayTot_27NB+(DelayTotChange_NB*(Table3D.1_DailyTTS_NB[[#This Row],[Year]]-2027)))</f>
        <v>7047.9336538888874</v>
      </c>
      <c r="H32" s="165" cm="1">
        <f t="array" ref="H32">IF(Table3D.1_DailyTTS_NB[[#This Row],[Year]]=Closeout,AvgDelay_27NB,AvgDelay_27NB+(DelayChange_NB*(Table3D.1_DailyTTS_NB[[#This Row],[Year]]-2027)))</f>
        <v>2.4663592592592598E-2</v>
      </c>
    </row>
    <row r="33" spans="2:8">
      <c r="B33" s="122">
        <f>First_Year+'Appendix B. Project Information'!B43</f>
        <v>2046</v>
      </c>
      <c r="C33" s="172" cm="1">
        <f t="array" ref="C33">IF(Table3D.1_DailyTTS_NB[[#This Row],[Year]]=Closeout,Traffic_27NB,Traffic_27NB+(TrafChange_NB*(Table3D.1_DailyTTS_NB[[#This Row],[Year]]-2027)))</f>
        <v>243051.66666666666</v>
      </c>
      <c r="D33" s="164" cm="1">
        <f t="array" ref="D33">IF(Table3D.1_DailyTTS_NB[[#This Row],[Year]]=Closeout,VMT_27NB,VMT_27NB+(VMTChange_NB*(Table3D.1_DailyTTS_NB[[#This Row],[Year]]-2027)))</f>
        <v>760151.79300000006</v>
      </c>
      <c r="E33" s="164" cm="1">
        <f t="array" ref="E33">IF(Table3D.1_DailyTTS_NB[[#This Row],[Year]]=Closeout,VHT_27NB,VHT_27NB+(VHTChange_NB*(Table3D.1_DailyTTS_NB[[#This Row],[Year]]-2027)))</f>
        <v>21910.384929166667</v>
      </c>
      <c r="F33" s="164" cm="1">
        <f t="array" ref="F33">IF(Table3D.1_DailyTTS_NB[[#This Row],[Year]]=Closeout,MPH_27NB,MPH_27NB+(MPHChange_NB*(Table3D.1_DailyTTS_NB[[#This Row],[Year]]-2027)))</f>
        <v>40.047777777777767</v>
      </c>
      <c r="G33" s="164" cm="1">
        <f t="array" ref="G33">IF(Table3D.1_DailyTTS_NB[[#This Row],[Year]]=Closeout,DelayTot_27NB,DelayTot_27NB+(DelayTotChange_NB*(Table3D.1_DailyTTS_NB[[#This Row],[Year]]-2027)))</f>
        <v>7351.1986547222205</v>
      </c>
      <c r="H33" s="165" cm="1">
        <f t="array" ref="H33">IF(Table3D.1_DailyTTS_NB[[#This Row],[Year]]=Closeout,AvgDelay_27NB,AvgDelay_27NB+(DelayChange_NB*(Table3D.1_DailyTTS_NB[[#This Row],[Year]]-2027)))</f>
        <v>2.5670438271604944E-2</v>
      </c>
    </row>
    <row r="34" spans="2:8">
      <c r="B34" s="122">
        <f>First_Year+'Appendix B. Project Information'!B44</f>
        <v>2047</v>
      </c>
      <c r="C34" s="172" cm="1">
        <f t="array" ref="C34">IF(Table3D.1_DailyTTS_NB[[#This Row],[Year]]=Closeout,Traffic_27NB,Traffic_27NB+(TrafChange_NB*(Table3D.1_DailyTTS_NB[[#This Row],[Year]]-2027)))</f>
        <v>244165.33333333334</v>
      </c>
      <c r="D34" s="164" cm="1">
        <f t="array" ref="D34">IF(Table3D.1_DailyTTS_NB[[#This Row],[Year]]=Closeout,VMT_27NB,VMT_27NB+(VMTChange_NB*(Table3D.1_DailyTTS_NB[[#This Row],[Year]]-2027)))</f>
        <v>762938.17</v>
      </c>
      <c r="E34" s="164" cm="1">
        <f t="array" ref="E34">IF(Table3D.1_DailyTTS_NB[[#This Row],[Year]]=Closeout,VHT_27NB,VHT_27NB+(VHTChange_NB*(Table3D.1_DailyTTS_NB[[#This Row],[Year]]-2027)))</f>
        <v>22266.11645277778</v>
      </c>
      <c r="F34" s="164" cm="1">
        <f t="array" ref="F34">IF(Table3D.1_DailyTTS_NB[[#This Row],[Year]]=Closeout,MPH_27NB,MPH_27NB+(MPHChange_NB*(Table3D.1_DailyTTS_NB[[#This Row],[Year]]-2027)))</f>
        <v>39.67155555555555</v>
      </c>
      <c r="G34" s="164" cm="1">
        <f t="array" ref="G34">IF(Table3D.1_DailyTTS_NB[[#This Row],[Year]]=Closeout,DelayTot_27NB,DelayTot_27NB+(DelayTotChange_NB*(Table3D.1_DailyTTS_NB[[#This Row],[Year]]-2027)))</f>
        <v>7654.4636555555535</v>
      </c>
      <c r="H34" s="165" cm="1">
        <f t="array" ref="H34">IF(Table3D.1_DailyTTS_NB[[#This Row],[Year]]=Closeout,AvgDelay_27NB,AvgDelay_27NB+(DelayChange_NB*(Table3D.1_DailyTTS_NB[[#This Row],[Year]]-2027)))</f>
        <v>2.6677283950617289E-2</v>
      </c>
    </row>
    <row r="35" spans="2:8">
      <c r="B35" s="122">
        <f>First_Year+'Appendix B. Project Information'!B45</f>
        <v>2048</v>
      </c>
      <c r="C35" s="172" cm="1">
        <f t="array" ref="C35">IF(Table3D.1_DailyTTS_NB[[#This Row],[Year]]=Closeout,Traffic_27NB,Traffic_27NB+(TrafChange_NB*(Table3D.1_DailyTTS_NB[[#This Row],[Year]]-2027)))</f>
        <v>245279</v>
      </c>
      <c r="D35" s="164" cm="1">
        <f t="array" ref="D35">IF(Table3D.1_DailyTTS_NB[[#This Row],[Year]]=Closeout,VMT_27NB,VMT_27NB+(VMTChange_NB*(Table3D.1_DailyTTS_NB[[#This Row],[Year]]-2027)))</f>
        <v>765724.54700000002</v>
      </c>
      <c r="E35" s="164" cm="1">
        <f t="array" ref="E35">IF(Table3D.1_DailyTTS_NB[[#This Row],[Year]]=Closeout,VHT_27NB,VHT_27NB+(VHTChange_NB*(Table3D.1_DailyTTS_NB[[#This Row],[Year]]-2027)))</f>
        <v>22621.84797638889</v>
      </c>
      <c r="F35" s="164" cm="1">
        <f t="array" ref="F35">IF(Table3D.1_DailyTTS_NB[[#This Row],[Year]]=Closeout,MPH_27NB,MPH_27NB+(MPHChange_NB*(Table3D.1_DailyTTS_NB[[#This Row],[Year]]-2027)))</f>
        <v>39.295333333333325</v>
      </c>
      <c r="G35" s="164" cm="1">
        <f t="array" ref="G35">IF(Table3D.1_DailyTTS_NB[[#This Row],[Year]]=Closeout,DelayTot_27NB,DelayTot_27NB+(DelayTotChange_NB*(Table3D.1_DailyTTS_NB[[#This Row],[Year]]-2027)))</f>
        <v>7957.7286563888865</v>
      </c>
      <c r="H35" s="165" cm="1">
        <f t="array" ref="H35">IF(Table3D.1_DailyTTS_NB[[#This Row],[Year]]=Closeout,AvgDelay_27NB,AvgDelay_27NB+(DelayChange_NB*(Table3D.1_DailyTTS_NB[[#This Row],[Year]]-2027)))</f>
        <v>2.7684129629629638E-2</v>
      </c>
    </row>
    <row r="36" spans="2:8">
      <c r="B36" s="122">
        <f>First_Year+'Appendix B. Project Information'!B46</f>
        <v>2049</v>
      </c>
      <c r="C36" s="172" cm="1">
        <f t="array" ref="C36">IF(Table3D.1_DailyTTS_NB[[#This Row],[Year]]=Closeout,Traffic_27NB,Traffic_27NB+(TrafChange_NB*(Table3D.1_DailyTTS_NB[[#This Row],[Year]]-2027)))</f>
        <v>246392.66666666666</v>
      </c>
      <c r="D36" s="164" cm="1">
        <f t="array" ref="D36">IF(Table3D.1_DailyTTS_NB[[#This Row],[Year]]=Closeout,VMT_27NB,VMT_27NB+(VMTChange_NB*(Table3D.1_DailyTTS_NB[[#This Row],[Year]]-2027)))</f>
        <v>768510.924</v>
      </c>
      <c r="E36" s="164" cm="1">
        <f t="array" ref="E36">IF(Table3D.1_DailyTTS_NB[[#This Row],[Year]]=Closeout,VHT_27NB,VHT_27NB+(VHTChange_NB*(Table3D.1_DailyTTS_NB[[#This Row],[Year]]-2027)))</f>
        <v>22977.5795</v>
      </c>
      <c r="F36" s="164" cm="1">
        <f t="array" ref="F36">IF(Table3D.1_DailyTTS_NB[[#This Row],[Year]]=Closeout,MPH_27NB,MPH_27NB+(MPHChange_NB*(Table3D.1_DailyTTS_NB[[#This Row],[Year]]-2027)))</f>
        <v>38.919111111111107</v>
      </c>
      <c r="G36" s="164" cm="1">
        <f t="array" ref="G36">IF(Table3D.1_DailyTTS_NB[[#This Row],[Year]]=Closeout,DelayTot_27NB,DelayTot_27NB+(DelayTotChange_NB*(Table3D.1_DailyTTS_NB[[#This Row],[Year]]-2027)))</f>
        <v>8260.9936572222214</v>
      </c>
      <c r="H36" s="165" cm="1">
        <f t="array" ref="H36">IF(Table3D.1_DailyTTS_NB[[#This Row],[Year]]=Closeout,AvgDelay_27NB,AvgDelay_27NB+(DelayChange_NB*(Table3D.1_DailyTTS_NB[[#This Row],[Year]]-2027)))</f>
        <v>2.8690975308641984E-2</v>
      </c>
    </row>
    <row r="37" spans="2:8">
      <c r="B37" s="122">
        <f>First_Year+'Appendix B. Project Information'!B47</f>
        <v>2050</v>
      </c>
      <c r="C37" s="172" cm="1">
        <f t="array" ref="C37">IF(Table3D.1_DailyTTS_NB[[#This Row],[Year]]=Closeout,Traffic_27NB,Traffic_27NB+(TrafChange_NB*(Table3D.1_DailyTTS_NB[[#This Row],[Year]]-2027)))</f>
        <v>247506.33333333334</v>
      </c>
      <c r="D37" s="164" cm="1">
        <f t="array" ref="D37">IF(Table3D.1_DailyTTS_NB[[#This Row],[Year]]=Closeout,VMT_27NB,VMT_27NB+(VMTChange_NB*(Table3D.1_DailyTTS_NB[[#This Row],[Year]]-2027)))</f>
        <v>771297.30100000009</v>
      </c>
      <c r="E37" s="164" cm="1">
        <f t="array" ref="E37">IF(Table3D.1_DailyTTS_NB[[#This Row],[Year]]=Closeout,VHT_27NB,VHT_27NB+(VHTChange_NB*(Table3D.1_DailyTTS_NB[[#This Row],[Year]]-2027)))</f>
        <v>23333.31102361111</v>
      </c>
      <c r="F37" s="164" cm="1">
        <f t="array" ref="F37">IF(Table3D.1_DailyTTS_NB[[#This Row],[Year]]=Closeout,MPH_27NB,MPH_27NB+(MPHChange_NB*(Table3D.1_DailyTTS_NB[[#This Row],[Year]]-2027)))</f>
        <v>38.542888888888882</v>
      </c>
      <c r="G37" s="164" cm="1">
        <f t="array" ref="G37">IF(Table3D.1_DailyTTS_NB[[#This Row],[Year]]=Closeout,DelayTot_27NB,DelayTot_27NB+(DelayTotChange_NB*(Table3D.1_DailyTTS_NB[[#This Row],[Year]]-2027)))</f>
        <v>8564.2586580555544</v>
      </c>
      <c r="H37" s="165" cm="1">
        <f t="array" ref="H37">IF(Table3D.1_DailyTTS_NB[[#This Row],[Year]]=Closeout,AvgDelay_27NB,AvgDelay_27NB+(DelayChange_NB*(Table3D.1_DailyTTS_NB[[#This Row],[Year]]-2027)))</f>
        <v>2.969782098765433E-2</v>
      </c>
    </row>
    <row r="38" spans="2:8">
      <c r="B38" s="122">
        <f>First_Year+'Appendix B. Project Information'!B48</f>
        <v>2051</v>
      </c>
      <c r="C38" s="172" cm="1">
        <f t="array" ref="C38">IF(Table3D.1_DailyTTS_NB[[#This Row],[Year]]=Closeout,Traffic_27NB,Traffic_27NB+(TrafChange_NB*(Table3D.1_DailyTTS_NB[[#This Row],[Year]]-2027)))</f>
        <v>248620</v>
      </c>
      <c r="D38" s="164" cm="1">
        <f t="array" ref="D38">IF(Table3D.1_DailyTTS_NB[[#This Row],[Year]]=Closeout,VMT_27NB,VMT_27NB+(VMTChange_NB*(Table3D.1_DailyTTS_NB[[#This Row],[Year]]-2027)))</f>
        <v>774083.67800000007</v>
      </c>
      <c r="E38" s="164" cm="1">
        <f t="array" ref="E38">IF(Table3D.1_DailyTTS_NB[[#This Row],[Year]]=Closeout,VHT_27NB,VHT_27NB+(VHTChange_NB*(Table3D.1_DailyTTS_NB[[#This Row],[Year]]-2027)))</f>
        <v>23689.04254722222</v>
      </c>
      <c r="F38" s="164" cm="1">
        <f t="array" ref="F38">IF(Table3D.1_DailyTTS_NB[[#This Row],[Year]]=Closeout,MPH_27NB,MPH_27NB+(MPHChange_NB*(Table3D.1_DailyTTS_NB[[#This Row],[Year]]-2027)))</f>
        <v>38.166666666666657</v>
      </c>
      <c r="G38" s="164" cm="1">
        <f t="array" ref="G38">IF(Table3D.1_DailyTTS_NB[[#This Row],[Year]]=Closeout,DelayTot_27NB,DelayTot_27NB+(DelayTotChange_NB*(Table3D.1_DailyTTS_NB[[#This Row],[Year]]-2027)))</f>
        <v>8867.5236588888874</v>
      </c>
      <c r="H38" s="165" cm="1">
        <f t="array" ref="H38">IF(Table3D.1_DailyTTS_NB[[#This Row],[Year]]=Closeout,AvgDelay_27NB,AvgDelay_27NB+(DelayChange_NB*(Table3D.1_DailyTTS_NB[[#This Row],[Year]]-2027)))</f>
        <v>3.0704666666666675E-2</v>
      </c>
    </row>
    <row r="39" spans="2:8">
      <c r="B39" s="122">
        <f>First_Year+'Appendix B. Project Information'!B49</f>
        <v>2052</v>
      </c>
      <c r="C39" s="172" cm="1">
        <f t="array" ref="C39">IF(Table3D.1_DailyTTS_NB[[#This Row],[Year]]=Closeout,Traffic_27NB,Traffic_27NB+(TrafChange_NB*(Table3D.1_DailyTTS_NB[[#This Row],[Year]]-2027)))</f>
        <v>249733.66666666666</v>
      </c>
      <c r="D39" s="164" cm="1">
        <f t="array" ref="D39">IF(Table3D.1_DailyTTS_NB[[#This Row],[Year]]=Closeout,VMT_27NB,VMT_27NB+(VMTChange_NB*(Table3D.1_DailyTTS_NB[[#This Row],[Year]]-2027)))</f>
        <v>776870.05500000005</v>
      </c>
      <c r="E39" s="164" cm="1">
        <f t="array" ref="E39">IF(Table3D.1_DailyTTS_NB[[#This Row],[Year]]=Closeout,VHT_27NB,VHT_27NB+(VHTChange_NB*(Table3D.1_DailyTTS_NB[[#This Row],[Year]]-2027)))</f>
        <v>24044.774070833333</v>
      </c>
      <c r="F39" s="164" cm="1">
        <f t="array" ref="F39">IF(Table3D.1_DailyTTS_NB[[#This Row],[Year]]=Closeout,MPH_27NB,MPH_27NB+(MPHChange_NB*(Table3D.1_DailyTTS_NB[[#This Row],[Year]]-2027)))</f>
        <v>37.790444444444432</v>
      </c>
      <c r="G39" s="164" cm="1">
        <f t="array" ref="G39">IF(Table3D.1_DailyTTS_NB[[#This Row],[Year]]=Closeout,DelayTot_27NB,DelayTot_27NB+(DelayTotChange_NB*(Table3D.1_DailyTTS_NB[[#This Row],[Year]]-2027)))</f>
        <v>9170.7886597222205</v>
      </c>
      <c r="H39" s="165" cm="1">
        <f t="array" ref="H39">IF(Table3D.1_DailyTTS_NB[[#This Row],[Year]]=Closeout,AvgDelay_27NB,AvgDelay_27NB+(DelayChange_NB*(Table3D.1_DailyTTS_NB[[#This Row],[Year]]-2027)))</f>
        <v>3.1711512345679024E-2</v>
      </c>
    </row>
    <row r="40" spans="2:8">
      <c r="B40" s="122">
        <f>First_Year+'Appendix B. Project Information'!B50</f>
        <v>2053</v>
      </c>
      <c r="C40" s="172" cm="1">
        <f t="array" ref="C40">IF(Table3D.1_DailyTTS_NB[[#This Row],[Year]]=Closeout,Traffic_27NB,Traffic_27NB+(TrafChange_NB*(Table3D.1_DailyTTS_NB[[#This Row],[Year]]-2027)))</f>
        <v>250847.33333333334</v>
      </c>
      <c r="D40" s="164" cm="1">
        <f t="array" ref="D40">IF(Table3D.1_DailyTTS_NB[[#This Row],[Year]]=Closeout,VMT_27NB,VMT_27NB+(VMTChange_NB*(Table3D.1_DailyTTS_NB[[#This Row],[Year]]-2027)))</f>
        <v>779656.43200000003</v>
      </c>
      <c r="E40" s="164" cm="1">
        <f t="array" ref="E40">IF(Table3D.1_DailyTTS_NB[[#This Row],[Year]]=Closeout,VHT_27NB,VHT_27NB+(VHTChange_NB*(Table3D.1_DailyTTS_NB[[#This Row],[Year]]-2027)))</f>
        <v>24400.505594444447</v>
      </c>
      <c r="F40" s="164" cm="1">
        <f t="array" ref="F40">IF(Table3D.1_DailyTTS_NB[[#This Row],[Year]]=Closeout,MPH_27NB,MPH_27NB+(MPHChange_NB*(Table3D.1_DailyTTS_NB[[#This Row],[Year]]-2027)))</f>
        <v>37.414222222222214</v>
      </c>
      <c r="G40" s="164" cm="1">
        <f t="array" ref="G40">IF(Table3D.1_DailyTTS_NB[[#This Row],[Year]]=Closeout,DelayTot_27NB,DelayTot_27NB+(DelayTotChange_NB*(Table3D.1_DailyTTS_NB[[#This Row],[Year]]-2027)))</f>
        <v>9474.0536605555535</v>
      </c>
      <c r="H40" s="165" cm="1">
        <f t="array" ref="H40">IF(Table3D.1_DailyTTS_NB[[#This Row],[Year]]=Closeout,AvgDelay_27NB,AvgDelay_27NB+(DelayChange_NB*(Table3D.1_DailyTTS_NB[[#This Row],[Year]]-2027)))</f>
        <v>3.271835802469137E-2</v>
      </c>
    </row>
    <row r="41" spans="2:8">
      <c r="B41" s="122">
        <f>First_Year+'Appendix B. Project Information'!B51</f>
        <v>2054</v>
      </c>
      <c r="C41" s="172" cm="1">
        <f t="array" ref="C41">IF(Table3D.1_DailyTTS_NB[[#This Row],[Year]]=Closeout,Traffic_27NB,Traffic_27NB+(TrafChange_NB*(Table3D.1_DailyTTS_NB[[#This Row],[Year]]-2027)))</f>
        <v>251961</v>
      </c>
      <c r="D41" s="164" cm="1">
        <f t="array" ref="D41">IF(Table3D.1_DailyTTS_NB[[#This Row],[Year]]=Closeout,VMT_27NB,VMT_27NB+(VMTChange_NB*(Table3D.1_DailyTTS_NB[[#This Row],[Year]]-2027)))</f>
        <v>782442.80900000001</v>
      </c>
      <c r="E41" s="164" cm="1">
        <f t="array" ref="E41">IF(Table3D.1_DailyTTS_NB[[#This Row],[Year]]=Closeout,VHT_27NB,VHT_27NB+(VHTChange_NB*(Table3D.1_DailyTTS_NB[[#This Row],[Year]]-2027)))</f>
        <v>24756.237118055556</v>
      </c>
      <c r="F41" s="164" cm="1">
        <f t="array" ref="F41">IF(Table3D.1_DailyTTS_NB[[#This Row],[Year]]=Closeout,MPH_27NB,MPH_27NB+(MPHChange_NB*(Table3D.1_DailyTTS_NB[[#This Row],[Year]]-2027)))</f>
        <v>37.03799999999999</v>
      </c>
      <c r="G41" s="164" cm="1">
        <f t="array" ref="G41">IF(Table3D.1_DailyTTS_NB[[#This Row],[Year]]=Closeout,DelayTot_27NB,DelayTot_27NB+(DelayTotChange_NB*(Table3D.1_DailyTTS_NB[[#This Row],[Year]]-2027)))</f>
        <v>9777.3186613888865</v>
      </c>
      <c r="H41" s="165" cm="1">
        <f t="array" ref="H41">IF(Table3D.1_DailyTTS_NB[[#This Row],[Year]]=Closeout,AvgDelay_27NB,AvgDelay_27NB+(DelayChange_NB*(Table3D.1_DailyTTS_NB[[#This Row],[Year]]-2027)))</f>
        <v>3.3725203703703716E-2</v>
      </c>
    </row>
    <row r="42" spans="2:8">
      <c r="B42" s="122">
        <f>First_Year+'Appendix B. Project Information'!B52</f>
        <v>2055</v>
      </c>
      <c r="C42" s="172" cm="1">
        <f t="array" ref="C42">IF(Table3D.1_DailyTTS_NB[[#This Row],[Year]]=Closeout,Traffic_27NB,Traffic_27NB+(TrafChange_NB*(Table3D.1_DailyTTS_NB[[#This Row],[Year]]-2027)))</f>
        <v>253074.66666666666</v>
      </c>
      <c r="D42" s="164" cm="1">
        <f t="array" ref="D42">IF(Table3D.1_DailyTTS_NB[[#This Row],[Year]]=Closeout,VMT_27NB,VMT_27NB+(VMTChange_NB*(Table3D.1_DailyTTS_NB[[#This Row],[Year]]-2027)))</f>
        <v>785229.1860000001</v>
      </c>
      <c r="E42" s="164" cm="1">
        <f t="array" ref="E42">IF(Table3D.1_DailyTTS_NB[[#This Row],[Year]]=Closeout,VHT_27NB,VHT_27NB+(VHTChange_NB*(Table3D.1_DailyTTS_NB[[#This Row],[Year]]-2027)))</f>
        <v>25111.968641666666</v>
      </c>
      <c r="F42" s="164" cm="1">
        <f t="array" ref="F42">IF(Table3D.1_DailyTTS_NB[[#This Row],[Year]]=Closeout,MPH_27NB,MPH_27NB+(MPHChange_NB*(Table3D.1_DailyTTS_NB[[#This Row],[Year]]-2027)))</f>
        <v>36.661777777777772</v>
      </c>
      <c r="G42" s="164" cm="1">
        <f t="array" ref="G42">IF(Table3D.1_DailyTTS_NB[[#This Row],[Year]]=Closeout,DelayTot_27NB,DelayTot_27NB+(DelayTotChange_NB*(Table3D.1_DailyTTS_NB[[#This Row],[Year]]-2027)))</f>
        <v>10080.583662222221</v>
      </c>
      <c r="H42" s="165" cm="1">
        <f t="array" ref="H42">IF(Table3D.1_DailyTTS_NB[[#This Row],[Year]]=Closeout,AvgDelay_27NB,AvgDelay_27NB+(DelayChange_NB*(Table3D.1_DailyTTS_NB[[#This Row],[Year]]-2027)))</f>
        <v>3.4732049382716061E-2</v>
      </c>
    </row>
    <row r="43" spans="2:8">
      <c r="B43" s="122">
        <f>First_Year+'Appendix B. Project Information'!B53</f>
        <v>2056</v>
      </c>
      <c r="C43" s="172" cm="1">
        <f t="array" ref="C43">IF(Table3D.1_DailyTTS_NB[[#This Row],[Year]]=Closeout,Traffic_27NB,Traffic_27NB+(TrafChange_NB*(Table3D.1_DailyTTS_NB[[#This Row],[Year]]-2027)))</f>
        <v>254188.33333333334</v>
      </c>
      <c r="D43" s="164" cm="1">
        <f t="array" ref="D43">IF(Table3D.1_DailyTTS_NB[[#This Row],[Year]]=Closeout,VMT_27NB,VMT_27NB+(VMTChange_NB*(Table3D.1_DailyTTS_NB[[#This Row],[Year]]-2027)))</f>
        <v>788015.56300000008</v>
      </c>
      <c r="E43" s="164" cm="1">
        <f t="array" ref="E43">IF(Table3D.1_DailyTTS_NB[[#This Row],[Year]]=Closeout,VHT_27NB,VHT_27NB+(VHTChange_NB*(Table3D.1_DailyTTS_NB[[#This Row],[Year]]-2027)))</f>
        <v>25467.700165277776</v>
      </c>
      <c r="F43" s="164" cm="1">
        <f t="array" ref="F43">IF(Table3D.1_DailyTTS_NB[[#This Row],[Year]]=Closeout,MPH_27NB,MPH_27NB+(MPHChange_NB*(Table3D.1_DailyTTS_NB[[#This Row],[Year]]-2027)))</f>
        <v>36.285555555555547</v>
      </c>
      <c r="G43" s="164" cm="1">
        <f t="array" ref="G43">IF(Table3D.1_DailyTTS_NB[[#This Row],[Year]]=Closeout,DelayTot_27NB,DelayTot_27NB+(DelayTotChange_NB*(Table3D.1_DailyTTS_NB[[#This Row],[Year]]-2027)))</f>
        <v>10383.848663055554</v>
      </c>
      <c r="H43" s="165" cm="1">
        <f t="array" ref="H43">IF(Table3D.1_DailyTTS_NB[[#This Row],[Year]]=Closeout,AvgDelay_27NB,AvgDelay_27NB+(DelayChange_NB*(Table3D.1_DailyTTS_NB[[#This Row],[Year]]-2027)))</f>
        <v>3.5738895061728407E-2</v>
      </c>
    </row>
    <row r="44" spans="2:8">
      <c r="B44" s="122">
        <f>First_Year+'Appendix B. Project Information'!B54</f>
        <v>2057</v>
      </c>
      <c r="C44" s="172" cm="1">
        <f t="array" ref="C44">IF(Table3D.1_DailyTTS_NB[[#This Row],[Year]]=Closeout,Traffic_27NB,Traffic_27NB+(TrafChange_NB*(Table3D.1_DailyTTS_NB[[#This Row],[Year]]-2027)))</f>
        <v>255302</v>
      </c>
      <c r="D44" s="164" cm="1">
        <f t="array" ref="D44">IF(Table3D.1_DailyTTS_NB[[#This Row],[Year]]=Closeout,VMT_27NB,VMT_27NB+(VMTChange_NB*(Table3D.1_DailyTTS_NB[[#This Row],[Year]]-2027)))</f>
        <v>790801.94000000006</v>
      </c>
      <c r="E44" s="164" cm="1">
        <f t="array" ref="E44">IF(Table3D.1_DailyTTS_NB[[#This Row],[Year]]=Closeout,VHT_27NB,VHT_27NB+(VHTChange_NB*(Table3D.1_DailyTTS_NB[[#This Row],[Year]]-2027)))</f>
        <v>25823.43168888889</v>
      </c>
      <c r="F44" s="164" cm="1">
        <f t="array" ref="F44">IF(Table3D.1_DailyTTS_NB[[#This Row],[Year]]=Closeout,MPH_27NB,MPH_27NB+(MPHChange_NB*(Table3D.1_DailyTTS_NB[[#This Row],[Year]]-2027)))</f>
        <v>35.909333333333322</v>
      </c>
      <c r="G44" s="164" cm="1">
        <f t="array" ref="G44">IF(Table3D.1_DailyTTS_NB[[#This Row],[Year]]=Closeout,DelayTot_27NB,DelayTot_27NB+(DelayTotChange_NB*(Table3D.1_DailyTTS_NB[[#This Row],[Year]]-2027)))</f>
        <v>10687.113663888887</v>
      </c>
      <c r="H44" s="165" cm="1">
        <f t="array" ref="H44">IF(Table3D.1_DailyTTS_NB[[#This Row],[Year]]=Closeout,AvgDelay_27NB,AvgDelay_27NB+(DelayChange_NB*(Table3D.1_DailyTTS_NB[[#This Row],[Year]]-2027)))</f>
        <v>3.6745740740740752E-2</v>
      </c>
    </row>
    <row r="45" spans="2:8">
      <c r="B45" s="122">
        <f>First_Year+'Appendix B. Project Information'!B55</f>
        <v>2058</v>
      </c>
      <c r="C45" s="172" cm="1">
        <f t="array" ref="C45">IF(Table3D.1_DailyTTS_NB[[#This Row],[Year]]=Closeout,Traffic_27NB,Traffic_27NB+(TrafChange_NB*(Table3D.1_DailyTTS_NB[[#This Row],[Year]]-2027)))</f>
        <v>256415.66666666669</v>
      </c>
      <c r="D45" s="164" cm="1">
        <f t="array" ref="D45">IF(Table3D.1_DailyTTS_NB[[#This Row],[Year]]=Closeout,VMT_27NB,VMT_27NB+(VMTChange_NB*(Table3D.1_DailyTTS_NB[[#This Row],[Year]]-2027)))</f>
        <v>793588.31700000004</v>
      </c>
      <c r="E45" s="164" cm="1">
        <f t="array" ref="E45">IF(Table3D.1_DailyTTS_NB[[#This Row],[Year]]=Closeout,VHT_27NB,VHT_27NB+(VHTChange_NB*(Table3D.1_DailyTTS_NB[[#This Row],[Year]]-2027)))</f>
        <v>26179.1632125</v>
      </c>
      <c r="F45" s="164" cm="1">
        <f t="array" ref="F45">IF(Table3D.1_DailyTTS_NB[[#This Row],[Year]]=Closeout,MPH_27NB,MPH_27NB+(MPHChange_NB*(Table3D.1_DailyTTS_NB[[#This Row],[Year]]-2027)))</f>
        <v>35.533111111111097</v>
      </c>
      <c r="G45" s="164" cm="1">
        <f t="array" ref="G45">IF(Table3D.1_DailyTTS_NB[[#This Row],[Year]]=Closeout,DelayTot_27NB,DelayTot_27NB+(DelayTotChange_NB*(Table3D.1_DailyTTS_NB[[#This Row],[Year]]-2027)))</f>
        <v>10990.37866472222</v>
      </c>
      <c r="H45" s="165" cm="1">
        <f t="array" ref="H45">IF(Table3D.1_DailyTTS_NB[[#This Row],[Year]]=Closeout,AvgDelay_27NB,AvgDelay_27NB+(DelayChange_NB*(Table3D.1_DailyTTS_NB[[#This Row],[Year]]-2027)))</f>
        <v>3.7752586419753098E-2</v>
      </c>
    </row>
    <row r="46" spans="2:8">
      <c r="B46" s="81" t="s">
        <v>127</v>
      </c>
      <c r="C46" s="174">
        <f>SUBTOTAL(101,Table3D.1_DailyTTS_NB[Total Traffic in Network (Veh/Day)])</f>
        <v>236926.5</v>
      </c>
      <c r="D46" s="153">
        <f>SUBTOTAL(101,Table3D.1_DailyTTS_NB[Vehicle Miles Traveled (VMT/Day)])</f>
        <v>744826.71950000012</v>
      </c>
      <c r="E46" s="153">
        <f>SUBTOTAL(101,Table3D.1_DailyTTS_NB[Vehicle Hours Traveled (VHT/Day)])</f>
        <v>19953.861549305559</v>
      </c>
      <c r="F46" s="153">
        <f>SUBTOTAL(101,Table3D.1_DailyTTS_NB[Average Speed (MPH)])</f>
        <v>42.116999999999997</v>
      </c>
      <c r="G46" s="153">
        <f>SUBTOTAL(101,Table3D.1_DailyTTS_NB[Total Delay (hrs/day)])</f>
        <v>5683.2411501388879</v>
      </c>
      <c r="H46" s="173">
        <f>SUBTOTAL(101,Table3D.1_DailyTTS_NB[Average Delay (Hrs/Veh/Day)])</f>
        <v>2.0132787037037043E-2</v>
      </c>
    </row>
    <row r="48" spans="2:8">
      <c r="B48" s="71" t="s">
        <v>221</v>
      </c>
    </row>
    <row r="49" spans="2:8">
      <c r="B49" s="71"/>
      <c r="C49" s="71"/>
      <c r="D49" s="71"/>
      <c r="E49" s="71"/>
      <c r="F49" s="71"/>
      <c r="G49" s="71"/>
      <c r="H49" s="71"/>
    </row>
    <row r="50" spans="2:8" ht="25.5">
      <c r="B50" s="122" t="s">
        <v>21</v>
      </c>
      <c r="C50" s="122" t="s">
        <v>153</v>
      </c>
      <c r="D50" s="122" t="s">
        <v>154</v>
      </c>
      <c r="E50" s="122" t="s">
        <v>155</v>
      </c>
      <c r="F50" s="122" t="s">
        <v>156</v>
      </c>
      <c r="G50" s="122" t="s">
        <v>220</v>
      </c>
      <c r="H50" s="122" t="s">
        <v>157</v>
      </c>
    </row>
    <row r="51" spans="2:8">
      <c r="B51" s="122">
        <f>First_Year+'Appendix B. Project Information'!B20</f>
        <v>2023</v>
      </c>
      <c r="C51" s="172" cm="1">
        <f t="array" ref="C51">IF(Table3D.2_DailyTTS_PA[[#This Row],[Year]]=Closeout,Traffic_27PA,Traffic_27PA+(TrafChange_PA*(Table3D.2_DailyTTS_PA[[#This Row],[Year]]-2027)))</f>
        <v>217868.66666666666</v>
      </c>
      <c r="D51" s="164" cm="1">
        <f t="array" ref="D51">IF(Table3D.2_DailyTTS_PA[[#This Row],[Year]]=Closeout,VMT_27PA,VMT_27PA+(VMTChange_PA*(Table3D.2_DailyTTS_PA[[#This Row],[Year]]-2027)))</f>
        <v>696711.29333333322</v>
      </c>
      <c r="E51" s="164" cm="1">
        <f t="array" ref="E51">IF(Table3D.2_DailyTTS_PA[[#This Row],[Year]]=Closeout,VHT_27PA,VHT_27PA+(VHTChange_PA*(Table3D.2_DailyTTS_PA[[#This Row],[Year]]-2027)))</f>
        <v>14243.992965740741</v>
      </c>
      <c r="F51" s="164" cm="1">
        <f t="array" ref="F51">IF(Table3D.2_DailyTTS_PA[[#This Row],[Year]]=Closeout,MPH_27PA,MPH_27PA+(MPHChange_PA*(Table3D.2_DailyTTS_PA[[#This Row],[Year]]-2027)))</f>
        <v>48.451555555555558</v>
      </c>
      <c r="G51" s="164" cm="1">
        <f t="array" ref="G51">IF(Table3D.2_DailyTTS_PA[[#This Row],[Year]]=Closeout,DelayTot_27PA,DelayTot_27PA+(DelayTotChange_PA*(Table3D.2_DailyTTS_PA[[#This Row],[Year]]-2027)))</f>
        <v>936.07285314814794</v>
      </c>
      <c r="H51" s="165" cm="1">
        <f t="array" ref="H51">IF(Table3D.2_DailyTTS_PA[[#This Row],[Year]]=Closeout,AvgDelay_27PA,AvgDelay_27PA+(DelayChange_PA*(Table3D.2_DailyTTS_PA[[#This Row],[Year]]-2027)))</f>
        <v>4.4498888888888886E-3</v>
      </c>
    </row>
    <row r="52" spans="2:8">
      <c r="B52" s="122">
        <f>First_Year+'Appendix B. Project Information'!B21</f>
        <v>2024</v>
      </c>
      <c r="C52" s="172" cm="1">
        <f t="array" ref="C52">IF(Table3D.2_DailyTTS_PA[[#This Row],[Year]]=Closeout,Traffic_27PA,Traffic_27PA+(TrafChange_PA*(Table3D.2_DailyTTS_PA[[#This Row],[Year]]-2027)))</f>
        <v>218843</v>
      </c>
      <c r="D52" s="164" cm="1">
        <f t="array" ref="D52">IF(Table3D.2_DailyTTS_PA[[#This Row],[Year]]=Closeout,VMT_27PA,VMT_27PA+(VMTChange_PA*(Table3D.2_DailyTTS_PA[[#This Row],[Year]]-2027)))</f>
        <v>699613.23499999987</v>
      </c>
      <c r="E52" s="164" cm="1">
        <f t="array" ref="E52">IF(Table3D.2_DailyTTS_PA[[#This Row],[Year]]=Closeout,VHT_27PA,VHT_27PA+(VHTChange_PA*(Table3D.2_DailyTTS_PA[[#This Row],[Year]]-2027)))</f>
        <v>14431.326499999999</v>
      </c>
      <c r="F52" s="164" cm="1">
        <f t="array" ref="F52">IF(Table3D.2_DailyTTS_PA[[#This Row],[Year]]=Closeout,MPH_27PA,MPH_27PA+(MPHChange_PA*(Table3D.2_DailyTTS_PA[[#This Row],[Year]]-2027)))</f>
        <v>48.248666666666665</v>
      </c>
      <c r="G52" s="164" cm="1">
        <f t="array" ref="G52">IF(Table3D.2_DailyTTS_PA[[#This Row],[Year]]=Closeout,DelayTot_27PA,DelayTot_27PA+(DelayTotChange_PA*(Table3D.2_DailyTTS_PA[[#This Row],[Year]]-2027)))</f>
        <v>1068.4770877777776</v>
      </c>
      <c r="H52" s="165" cm="1">
        <f t="array" ref="H52">IF(Table3D.2_DailyTTS_PA[[#This Row],[Year]]=Closeout,AvgDelay_27PA,AvgDelay_27PA+(DelayChange_PA*(Table3D.2_DailyTTS_PA[[#This Row],[Year]]-2027)))</f>
        <v>4.8628333333333327E-3</v>
      </c>
    </row>
    <row r="53" spans="2:8">
      <c r="B53" s="122">
        <f>First_Year+'Appendix B. Project Information'!B22</f>
        <v>2025</v>
      </c>
      <c r="C53" s="172" cm="1">
        <f t="array" ref="C53">IF(Table3D.2_DailyTTS_PA[[#This Row],[Year]]=Closeout,Traffic_27PA,Traffic_27PA+(TrafChange_PA*(Table3D.2_DailyTTS_PA[[#This Row],[Year]]-2027)))</f>
        <v>219817.33333333334</v>
      </c>
      <c r="D53" s="164" cm="1">
        <f t="array" ref="D53">IF(Table3D.2_DailyTTS_PA[[#This Row],[Year]]=Closeout,VMT_27PA,VMT_27PA+(VMTChange_PA*(Table3D.2_DailyTTS_PA[[#This Row],[Year]]-2027)))</f>
        <v>702515.17666666664</v>
      </c>
      <c r="E53" s="164" cm="1">
        <f t="array" ref="E53">IF(Table3D.2_DailyTTS_PA[[#This Row],[Year]]=Closeout,VHT_27PA,VHT_27PA+(VHTChange_PA*(Table3D.2_DailyTTS_PA[[#This Row],[Year]]-2027)))</f>
        <v>14618.660034259259</v>
      </c>
      <c r="F53" s="164" cm="1">
        <f t="array" ref="F53">IF(Table3D.2_DailyTTS_PA[[#This Row],[Year]]=Closeout,MPH_27PA,MPH_27PA+(MPHChange_PA*(Table3D.2_DailyTTS_PA[[#This Row],[Year]]-2027)))</f>
        <v>48.045777777777779</v>
      </c>
      <c r="G53" s="164" cm="1">
        <f t="array" ref="G53">IF(Table3D.2_DailyTTS_PA[[#This Row],[Year]]=Closeout,DelayTot_27PA,DelayTot_27PA+(DelayTotChange_PA*(Table3D.2_DailyTTS_PA[[#This Row],[Year]]-2027)))</f>
        <v>1200.8813224074072</v>
      </c>
      <c r="H53" s="165" cm="1">
        <f t="array" ref="H53">IF(Table3D.2_DailyTTS_PA[[#This Row],[Year]]=Closeout,AvgDelay_27PA,AvgDelay_27PA+(DelayChange_PA*(Table3D.2_DailyTTS_PA[[#This Row],[Year]]-2027)))</f>
        <v>5.2757777777777777E-3</v>
      </c>
    </row>
    <row r="54" spans="2:8">
      <c r="B54" s="122">
        <f>First_Year+'Appendix B. Project Information'!B23</f>
        <v>2026</v>
      </c>
      <c r="C54" s="172" cm="1">
        <f t="array" ref="C54">IF(Table3D.2_DailyTTS_PA[[#This Row],[Year]]=Closeout,Traffic_27PA,Traffic_27PA+(TrafChange_PA*(Table3D.2_DailyTTS_PA[[#This Row],[Year]]-2027)))</f>
        <v>220791.66666666666</v>
      </c>
      <c r="D54" s="164" cm="1">
        <f t="array" ref="D54">IF(Table3D.2_DailyTTS_PA[[#This Row],[Year]]=Closeout,VMT_27PA,VMT_27PA+(VMTChange_PA*(Table3D.2_DailyTTS_PA[[#This Row],[Year]]-2027)))</f>
        <v>705417.11833333329</v>
      </c>
      <c r="E54" s="164" cm="1">
        <f t="array" ref="E54">IF(Table3D.2_DailyTTS_PA[[#This Row],[Year]]=Closeout,VHT_27PA,VHT_27PA+(VHTChange_PA*(Table3D.2_DailyTTS_PA[[#This Row],[Year]]-2027)))</f>
        <v>14805.993568518517</v>
      </c>
      <c r="F54" s="164" cm="1">
        <f t="array" ref="F54">IF(Table3D.2_DailyTTS_PA[[#This Row],[Year]]=Closeout,MPH_27PA,MPH_27PA+(MPHChange_PA*(Table3D.2_DailyTTS_PA[[#This Row],[Year]]-2027)))</f>
        <v>47.842888888888886</v>
      </c>
      <c r="G54" s="164" cm="1">
        <f t="array" ref="G54">IF(Table3D.2_DailyTTS_PA[[#This Row],[Year]]=Closeout,DelayTot_27PA,DelayTot_27PA+(DelayTotChange_PA*(Table3D.2_DailyTTS_PA[[#This Row],[Year]]-2027)))</f>
        <v>1333.2855570370368</v>
      </c>
      <c r="H54" s="165" cm="1">
        <f t="array" ref="H54">IF(Table3D.2_DailyTTS_PA[[#This Row],[Year]]=Closeout,AvgDelay_27PA,AvgDelay_27PA+(DelayChange_PA*(Table3D.2_DailyTTS_PA[[#This Row],[Year]]-2027)))</f>
        <v>5.6887222222222217E-3</v>
      </c>
    </row>
    <row r="55" spans="2:8">
      <c r="B55" s="122">
        <f>First_Year+'Appendix B. Project Information'!B24</f>
        <v>2027</v>
      </c>
      <c r="C55" s="172" cm="1">
        <f t="array" ref="C55">IF(Table3D.2_DailyTTS_PA[[#This Row],[Year]]=Closeout,Traffic_27PA,Traffic_27PA+(TrafChange_PA*(Table3D.2_DailyTTS_PA[[#This Row],[Year]]-2027)))</f>
        <v>221766</v>
      </c>
      <c r="D55" s="164" cm="1">
        <f t="array" ref="D55">IF(Table3D.2_DailyTTS_PA[[#This Row],[Year]]=Closeout,VMT_27PA,VMT_27PA+(VMTChange_PA*(Table3D.2_DailyTTS_PA[[#This Row],[Year]]-2027)))</f>
        <v>708319.05999999994</v>
      </c>
      <c r="E55" s="164" cm="1">
        <f t="array" ref="E55">IF(Table3D.2_DailyTTS_PA[[#This Row],[Year]]=Closeout,VHT_27PA,VHT_27PA+(VHTChange_PA*(Table3D.2_DailyTTS_PA[[#This Row],[Year]]-2027)))</f>
        <v>14993.327102777777</v>
      </c>
      <c r="F55" s="164" cm="1">
        <f t="array" ref="F55">IF(Table3D.2_DailyTTS_PA[[#This Row],[Year]]=Closeout,MPH_27PA,MPH_27PA+(MPHChange_PA*(Table3D.2_DailyTTS_PA[[#This Row],[Year]]-2027)))</f>
        <v>47.64</v>
      </c>
      <c r="G55" s="164" cm="1">
        <f t="array" ref="G55">IF(Table3D.2_DailyTTS_PA[[#This Row],[Year]]=Closeout,DelayTot_27PA,DelayTot_27PA+(DelayTotChange_PA*(Table3D.2_DailyTTS_PA[[#This Row],[Year]]-2027)))</f>
        <v>1465.6897916666665</v>
      </c>
      <c r="H55" s="165" cm="1">
        <f t="array" ref="H55">IF(Table3D.2_DailyTTS_PA[[#This Row],[Year]]=Closeout,AvgDelay_27PA,AvgDelay_27PA+(DelayChange_PA*(Table3D.2_DailyTTS_PA[[#This Row],[Year]]-2027)))</f>
        <v>6.1016666666666667E-3</v>
      </c>
    </row>
    <row r="56" spans="2:8">
      <c r="B56" s="122">
        <f>First_Year+'Appendix B. Project Information'!B25</f>
        <v>2028</v>
      </c>
      <c r="C56" s="172" cm="1">
        <f t="array" ref="C56">IF(Table3D.2_DailyTTS_PA[[#This Row],[Year]]=Closeout,Traffic_27PA,Traffic_27PA+(TrafChange_PA*(Table3D.2_DailyTTS_PA[[#This Row],[Year]]-2027)))</f>
        <v>222740.33333333334</v>
      </c>
      <c r="D56" s="164" cm="1">
        <f t="array" ref="D56">IF(Table3D.2_DailyTTS_PA[[#This Row],[Year]]=Closeout,VMT_27PA,VMT_27PA+(VMTChange_PA*(Table3D.2_DailyTTS_PA[[#This Row],[Year]]-2027)))</f>
        <v>711221.00166666659</v>
      </c>
      <c r="E56" s="164" cm="1">
        <f t="array" ref="E56">IF(Table3D.2_DailyTTS_PA[[#This Row],[Year]]=Closeout,VHT_27PA,VHT_27PA+(VHTChange_PA*(Table3D.2_DailyTTS_PA[[#This Row],[Year]]-2027)))</f>
        <v>15180.660637037037</v>
      </c>
      <c r="F56" s="164" cm="1">
        <f t="array" ref="F56">IF(Table3D.2_DailyTTS_PA[[#This Row],[Year]]=Closeout,MPH_27PA,MPH_27PA+(MPHChange_PA*(Table3D.2_DailyTTS_PA[[#This Row],[Year]]-2027)))</f>
        <v>47.437111111111115</v>
      </c>
      <c r="G56" s="164" cm="1">
        <f t="array" ref="G56">IF(Table3D.2_DailyTTS_PA[[#This Row],[Year]]=Closeout,DelayTot_27PA,DelayTot_27PA+(DelayTotChange_PA*(Table3D.2_DailyTTS_PA[[#This Row],[Year]]-2027)))</f>
        <v>1598.0940262962961</v>
      </c>
      <c r="H56" s="165" cm="1">
        <f t="array" ref="H56">IF(Table3D.2_DailyTTS_PA[[#This Row],[Year]]=Closeout,AvgDelay_27PA,AvgDelay_27PA+(DelayChange_PA*(Table3D.2_DailyTTS_PA[[#This Row],[Year]]-2027)))</f>
        <v>6.5146111111111116E-3</v>
      </c>
    </row>
    <row r="57" spans="2:8">
      <c r="B57" s="122">
        <f>First_Year+'Appendix B. Project Information'!B26</f>
        <v>2029</v>
      </c>
      <c r="C57" s="172" cm="1">
        <f t="array" ref="C57">IF(Table3D.2_DailyTTS_PA[[#This Row],[Year]]=Closeout,Traffic_27PA,Traffic_27PA+(TrafChange_PA*(Table3D.2_DailyTTS_PA[[#This Row],[Year]]-2027)))</f>
        <v>223714.66666666666</v>
      </c>
      <c r="D57" s="164" cm="1">
        <f t="array" ref="D57">IF(Table3D.2_DailyTTS_PA[[#This Row],[Year]]=Closeout,VMT_27PA,VMT_27PA+(VMTChange_PA*(Table3D.2_DailyTTS_PA[[#This Row],[Year]]-2027)))</f>
        <v>714122.94333333324</v>
      </c>
      <c r="E57" s="164" cm="1">
        <f t="array" ref="E57">IF(Table3D.2_DailyTTS_PA[[#This Row],[Year]]=Closeout,VHT_27PA,VHT_27PA+(VHTChange_PA*(Table3D.2_DailyTTS_PA[[#This Row],[Year]]-2027)))</f>
        <v>15367.994171296295</v>
      </c>
      <c r="F57" s="164" cm="1">
        <f t="array" ref="F57">IF(Table3D.2_DailyTTS_PA[[#This Row],[Year]]=Closeout,MPH_27PA,MPH_27PA+(MPHChange_PA*(Table3D.2_DailyTTS_PA[[#This Row],[Year]]-2027)))</f>
        <v>47.234222222222222</v>
      </c>
      <c r="G57" s="164" cm="1">
        <f t="array" ref="G57">IF(Table3D.2_DailyTTS_PA[[#This Row],[Year]]=Closeout,DelayTot_27PA,DelayTot_27PA+(DelayTotChange_PA*(Table3D.2_DailyTTS_PA[[#This Row],[Year]]-2027)))</f>
        <v>1730.4982609259257</v>
      </c>
      <c r="H57" s="165" cm="1">
        <f t="array" ref="H57">IF(Table3D.2_DailyTTS_PA[[#This Row],[Year]]=Closeout,AvgDelay_27PA,AvgDelay_27PA+(DelayChange_PA*(Table3D.2_DailyTTS_PA[[#This Row],[Year]]-2027)))</f>
        <v>6.9275555555555557E-3</v>
      </c>
    </row>
    <row r="58" spans="2:8">
      <c r="B58" s="122">
        <f>First_Year+'Appendix B. Project Information'!B27</f>
        <v>2030</v>
      </c>
      <c r="C58" s="172" cm="1">
        <f t="array" ref="C58">IF(Table3D.2_DailyTTS_PA[[#This Row],[Year]]=Closeout,Traffic_27PA,Traffic_27PA+(TrafChange_PA*(Table3D.2_DailyTTS_PA[[#This Row],[Year]]-2027)))</f>
        <v>224689</v>
      </c>
      <c r="D58" s="164" cm="1">
        <f t="array" ref="D58">IF(Table3D.2_DailyTTS_PA[[#This Row],[Year]]=Closeout,VMT_27PA,VMT_27PA+(VMTChange_PA*(Table3D.2_DailyTTS_PA[[#This Row],[Year]]-2027)))</f>
        <v>717024.88500000001</v>
      </c>
      <c r="E58" s="164" cm="1">
        <f t="array" ref="E58">IF(Table3D.2_DailyTTS_PA[[#This Row],[Year]]=Closeout,VHT_27PA,VHT_27PA+(VHTChange_PA*(Table3D.2_DailyTTS_PA[[#This Row],[Year]]-2027)))</f>
        <v>15555.327705555555</v>
      </c>
      <c r="F58" s="164" cm="1">
        <f t="array" ref="F58">IF(Table3D.2_DailyTTS_PA[[#This Row],[Year]]=Closeout,MPH_27PA,MPH_27PA+(MPHChange_PA*(Table3D.2_DailyTTS_PA[[#This Row],[Year]]-2027)))</f>
        <v>47.031333333333336</v>
      </c>
      <c r="G58" s="164" cm="1">
        <f t="array" ref="G58">IF(Table3D.2_DailyTTS_PA[[#This Row],[Year]]=Closeout,DelayTot_27PA,DelayTot_27PA+(DelayTotChange_PA*(Table3D.2_DailyTTS_PA[[#This Row],[Year]]-2027)))</f>
        <v>1862.9024955555553</v>
      </c>
      <c r="H58" s="165" cm="1">
        <f t="array" ref="H58">IF(Table3D.2_DailyTTS_PA[[#This Row],[Year]]=Closeout,AvgDelay_27PA,AvgDelay_27PA+(DelayChange_PA*(Table3D.2_DailyTTS_PA[[#This Row],[Year]]-2027)))</f>
        <v>7.3405000000000007E-3</v>
      </c>
    </row>
    <row r="59" spans="2:8">
      <c r="B59" s="122">
        <f>First_Year+'Appendix B. Project Information'!B28</f>
        <v>2031</v>
      </c>
      <c r="C59" s="172" cm="1">
        <f t="array" ref="C59">IF(Table3D.2_DailyTTS_PA[[#This Row],[Year]]=Closeout,Traffic_27PA,Traffic_27PA+(TrafChange_PA*(Table3D.2_DailyTTS_PA[[#This Row],[Year]]-2027)))</f>
        <v>225663.33333333334</v>
      </c>
      <c r="D59" s="164" cm="1">
        <f t="array" ref="D59">IF(Table3D.2_DailyTTS_PA[[#This Row],[Year]]=Closeout,VMT_27PA,VMT_27PA+(VMTChange_PA*(Table3D.2_DailyTTS_PA[[#This Row],[Year]]-2027)))</f>
        <v>719926.82666666666</v>
      </c>
      <c r="E59" s="164" cm="1">
        <f t="array" ref="E59">IF(Table3D.2_DailyTTS_PA[[#This Row],[Year]]=Closeout,VHT_27PA,VHT_27PA+(VHTChange_PA*(Table3D.2_DailyTTS_PA[[#This Row],[Year]]-2027)))</f>
        <v>15742.661239814814</v>
      </c>
      <c r="F59" s="164" cm="1">
        <f t="array" ref="F59">IF(Table3D.2_DailyTTS_PA[[#This Row],[Year]]=Closeout,MPH_27PA,MPH_27PA+(MPHChange_PA*(Table3D.2_DailyTTS_PA[[#This Row],[Year]]-2027)))</f>
        <v>46.828444444444443</v>
      </c>
      <c r="G59" s="164" cm="1">
        <f t="array" ref="G59">IF(Table3D.2_DailyTTS_PA[[#This Row],[Year]]=Closeout,DelayTot_27PA,DelayTot_27PA+(DelayTotChange_PA*(Table3D.2_DailyTTS_PA[[#This Row],[Year]]-2027)))</f>
        <v>1995.306730185185</v>
      </c>
      <c r="H59" s="165" cm="1">
        <f t="array" ref="H59">IF(Table3D.2_DailyTTS_PA[[#This Row],[Year]]=Closeout,AvgDelay_27PA,AvgDelay_27PA+(DelayChange_PA*(Table3D.2_DailyTTS_PA[[#This Row],[Year]]-2027)))</f>
        <v>7.7534444444444447E-3</v>
      </c>
    </row>
    <row r="60" spans="2:8">
      <c r="B60" s="122">
        <f>First_Year+'Appendix B. Project Information'!B29</f>
        <v>2032</v>
      </c>
      <c r="C60" s="172" cm="1">
        <f t="array" ref="C60">IF(Table3D.2_DailyTTS_PA[[#This Row],[Year]]=Closeout,Traffic_27PA,Traffic_27PA+(TrafChange_PA*(Table3D.2_DailyTTS_PA[[#This Row],[Year]]-2027)))</f>
        <v>226637.66666666666</v>
      </c>
      <c r="D60" s="164" cm="1">
        <f t="array" ref="D60">IF(Table3D.2_DailyTTS_PA[[#This Row],[Year]]=Closeout,VMT_27PA,VMT_27PA+(VMTChange_PA*(Table3D.2_DailyTTS_PA[[#This Row],[Year]]-2027)))</f>
        <v>722828.76833333331</v>
      </c>
      <c r="E60" s="164" cm="1">
        <f t="array" ref="E60">IF(Table3D.2_DailyTTS_PA[[#This Row],[Year]]=Closeout,VHT_27PA,VHT_27PA+(VHTChange_PA*(Table3D.2_DailyTTS_PA[[#This Row],[Year]]-2027)))</f>
        <v>15929.994774074074</v>
      </c>
      <c r="F60" s="164" cm="1">
        <f t="array" ref="F60">IF(Table3D.2_DailyTTS_PA[[#This Row],[Year]]=Closeout,MPH_27PA,MPH_27PA+(MPHChange_PA*(Table3D.2_DailyTTS_PA[[#This Row],[Year]]-2027)))</f>
        <v>46.625555555555557</v>
      </c>
      <c r="G60" s="164" cm="1">
        <f t="array" ref="G60">IF(Table3D.2_DailyTTS_PA[[#This Row],[Year]]=Closeout,DelayTot_27PA,DelayTot_27PA+(DelayTotChange_PA*(Table3D.2_DailyTTS_PA[[#This Row],[Year]]-2027)))</f>
        <v>2127.7109648148144</v>
      </c>
      <c r="H60" s="165" cm="1">
        <f t="array" ref="H60">IF(Table3D.2_DailyTTS_PA[[#This Row],[Year]]=Closeout,AvgDelay_27PA,AvgDelay_27PA+(DelayChange_PA*(Table3D.2_DailyTTS_PA[[#This Row],[Year]]-2027)))</f>
        <v>8.1663888888888897E-3</v>
      </c>
    </row>
    <row r="61" spans="2:8">
      <c r="B61" s="122">
        <f>First_Year+'Appendix B. Project Information'!B30</f>
        <v>2033</v>
      </c>
      <c r="C61" s="172" cm="1">
        <f t="array" ref="C61">IF(Table3D.2_DailyTTS_PA[[#This Row],[Year]]=Closeout,Traffic_27PA,Traffic_27PA+(TrafChange_PA*(Table3D.2_DailyTTS_PA[[#This Row],[Year]]-2027)))</f>
        <v>227612</v>
      </c>
      <c r="D61" s="164" cm="1">
        <f t="array" ref="D61">IF(Table3D.2_DailyTTS_PA[[#This Row],[Year]]=Closeout,VMT_27PA,VMT_27PA+(VMTChange_PA*(Table3D.2_DailyTTS_PA[[#This Row],[Year]]-2027)))</f>
        <v>725730.71</v>
      </c>
      <c r="E61" s="164" cm="1">
        <f t="array" ref="E61">IF(Table3D.2_DailyTTS_PA[[#This Row],[Year]]=Closeout,VHT_27PA,VHT_27PA+(VHTChange_PA*(Table3D.2_DailyTTS_PA[[#This Row],[Year]]-2027)))</f>
        <v>16117.328308333334</v>
      </c>
      <c r="F61" s="164" cm="1">
        <f t="array" ref="F61">IF(Table3D.2_DailyTTS_PA[[#This Row],[Year]]=Closeout,MPH_27PA,MPH_27PA+(MPHChange_PA*(Table3D.2_DailyTTS_PA[[#This Row],[Year]]-2027)))</f>
        <v>46.422666666666665</v>
      </c>
      <c r="G61" s="164" cm="1">
        <f t="array" ref="G61">IF(Table3D.2_DailyTTS_PA[[#This Row],[Year]]=Closeout,DelayTot_27PA,DelayTot_27PA+(DelayTotChange_PA*(Table3D.2_DailyTTS_PA[[#This Row],[Year]]-2027)))</f>
        <v>2260.1151994444444</v>
      </c>
      <c r="H61" s="165" cm="1">
        <f t="array" ref="H61">IF(Table3D.2_DailyTTS_PA[[#This Row],[Year]]=Closeout,AvgDelay_27PA,AvgDelay_27PA+(DelayChange_PA*(Table3D.2_DailyTTS_PA[[#This Row],[Year]]-2027)))</f>
        <v>8.5793333333333346E-3</v>
      </c>
    </row>
    <row r="62" spans="2:8">
      <c r="B62" s="122">
        <f>First_Year+'Appendix B. Project Information'!B31</f>
        <v>2034</v>
      </c>
      <c r="C62" s="172" cm="1">
        <f t="array" ref="C62">IF(Table3D.2_DailyTTS_PA[[#This Row],[Year]]=Closeout,Traffic_27PA,Traffic_27PA+(TrafChange_PA*(Table3D.2_DailyTTS_PA[[#This Row],[Year]]-2027)))</f>
        <v>228586.33333333334</v>
      </c>
      <c r="D62" s="164" cm="1">
        <f t="array" ref="D62">IF(Table3D.2_DailyTTS_PA[[#This Row],[Year]]=Closeout,VMT_27PA,VMT_27PA+(VMTChange_PA*(Table3D.2_DailyTTS_PA[[#This Row],[Year]]-2027)))</f>
        <v>728632.65166666661</v>
      </c>
      <c r="E62" s="164" cm="1">
        <f t="array" ref="E62">IF(Table3D.2_DailyTTS_PA[[#This Row],[Year]]=Closeout,VHT_27PA,VHT_27PA+(VHTChange_PA*(Table3D.2_DailyTTS_PA[[#This Row],[Year]]-2027)))</f>
        <v>16304.661842592592</v>
      </c>
      <c r="F62" s="164" cm="1">
        <f t="array" ref="F62">IF(Table3D.2_DailyTTS_PA[[#This Row],[Year]]=Closeout,MPH_27PA,MPH_27PA+(MPHChange_PA*(Table3D.2_DailyTTS_PA[[#This Row],[Year]]-2027)))</f>
        <v>46.219777777777779</v>
      </c>
      <c r="G62" s="164" cm="1">
        <f t="array" ref="G62">IF(Table3D.2_DailyTTS_PA[[#This Row],[Year]]=Closeout,DelayTot_27PA,DelayTot_27PA+(DelayTotChange_PA*(Table3D.2_DailyTTS_PA[[#This Row],[Year]]-2027)))</f>
        <v>2392.5194340740736</v>
      </c>
      <c r="H62" s="165" cm="1">
        <f t="array" ref="H62">IF(Table3D.2_DailyTTS_PA[[#This Row],[Year]]=Closeout,AvgDelay_27PA,AvgDelay_27PA+(DelayChange_PA*(Table3D.2_DailyTTS_PA[[#This Row],[Year]]-2027)))</f>
        <v>8.9922777777777796E-3</v>
      </c>
    </row>
    <row r="63" spans="2:8">
      <c r="B63" s="122">
        <f>First_Year+'Appendix B. Project Information'!B32</f>
        <v>2035</v>
      </c>
      <c r="C63" s="172" cm="1">
        <f t="array" ref="C63">IF(Table3D.2_DailyTTS_PA[[#This Row],[Year]]=Closeout,Traffic_27PA,Traffic_27PA+(TrafChange_PA*(Table3D.2_DailyTTS_PA[[#This Row],[Year]]-2027)))</f>
        <v>229560.66666666666</v>
      </c>
      <c r="D63" s="164" cm="1">
        <f t="array" ref="D63">IF(Table3D.2_DailyTTS_PA[[#This Row],[Year]]=Closeout,VMT_27PA,VMT_27PA+(VMTChange_PA*(Table3D.2_DailyTTS_PA[[#This Row],[Year]]-2027)))</f>
        <v>731534.59333333327</v>
      </c>
      <c r="E63" s="164" cm="1">
        <f t="array" ref="E63">IF(Table3D.2_DailyTTS_PA[[#This Row],[Year]]=Closeout,VHT_27PA,VHT_27PA+(VHTChange_PA*(Table3D.2_DailyTTS_PA[[#This Row],[Year]]-2027)))</f>
        <v>16491.99537685185</v>
      </c>
      <c r="F63" s="164" cm="1">
        <f t="array" ref="F63">IF(Table3D.2_DailyTTS_PA[[#This Row],[Year]]=Closeout,MPH_27PA,MPH_27PA+(MPHChange_PA*(Table3D.2_DailyTTS_PA[[#This Row],[Year]]-2027)))</f>
        <v>46.016888888888886</v>
      </c>
      <c r="G63" s="164" cm="1">
        <f t="array" ref="G63">IF(Table3D.2_DailyTTS_PA[[#This Row],[Year]]=Closeout,DelayTot_27PA,DelayTot_27PA+(DelayTotChange_PA*(Table3D.2_DailyTTS_PA[[#This Row],[Year]]-2027)))</f>
        <v>2524.9236687037037</v>
      </c>
      <c r="H63" s="165" cm="1">
        <f t="array" ref="H63">IF(Table3D.2_DailyTTS_PA[[#This Row],[Year]]=Closeout,AvgDelay_27PA,AvgDelay_27PA+(DelayChange_PA*(Table3D.2_DailyTTS_PA[[#This Row],[Year]]-2027)))</f>
        <v>9.4052222222222228E-3</v>
      </c>
    </row>
    <row r="64" spans="2:8">
      <c r="B64" s="122">
        <f>First_Year+'Appendix B. Project Information'!B33</f>
        <v>2036</v>
      </c>
      <c r="C64" s="172" cm="1">
        <f t="array" ref="C64">IF(Table3D.2_DailyTTS_PA[[#This Row],[Year]]=Closeout,Traffic_27PA,Traffic_27PA+(TrafChange_PA*(Table3D.2_DailyTTS_PA[[#This Row],[Year]]-2027)))</f>
        <v>230535</v>
      </c>
      <c r="D64" s="164" cm="1">
        <f t="array" ref="D64">IF(Table3D.2_DailyTTS_PA[[#This Row],[Year]]=Closeout,VMT_27PA,VMT_27PA+(VMTChange_PA*(Table3D.2_DailyTTS_PA[[#This Row],[Year]]-2027)))</f>
        <v>734436.53499999992</v>
      </c>
      <c r="E64" s="164" cm="1">
        <f t="array" ref="E64">IF(Table3D.2_DailyTTS_PA[[#This Row],[Year]]=Closeout,VHT_27PA,VHT_27PA+(VHTChange_PA*(Table3D.2_DailyTTS_PA[[#This Row],[Year]]-2027)))</f>
        <v>16679.328911111112</v>
      </c>
      <c r="F64" s="164" cm="1">
        <f t="array" ref="F64">IF(Table3D.2_DailyTTS_PA[[#This Row],[Year]]=Closeout,MPH_27PA,MPH_27PA+(MPHChange_PA*(Table3D.2_DailyTTS_PA[[#This Row],[Year]]-2027)))</f>
        <v>45.814</v>
      </c>
      <c r="G64" s="164" cm="1">
        <f t="array" ref="G64">IF(Table3D.2_DailyTTS_PA[[#This Row],[Year]]=Closeout,DelayTot_27PA,DelayTot_27PA+(DelayTotChange_PA*(Table3D.2_DailyTTS_PA[[#This Row],[Year]]-2027)))</f>
        <v>2657.3279033333329</v>
      </c>
      <c r="H64" s="165" cm="1">
        <f t="array" ref="H64">IF(Table3D.2_DailyTTS_PA[[#This Row],[Year]]=Closeout,AvgDelay_27PA,AvgDelay_27PA+(DelayChange_PA*(Table3D.2_DailyTTS_PA[[#This Row],[Year]]-2027)))</f>
        <v>9.8181666666666677E-3</v>
      </c>
    </row>
    <row r="65" spans="2:8">
      <c r="B65" s="122">
        <f>First_Year+'Appendix B. Project Information'!B34</f>
        <v>2037</v>
      </c>
      <c r="C65" s="172" cm="1">
        <f t="array" ref="C65">IF(Table3D.2_DailyTTS_PA[[#This Row],[Year]]=Closeout,Traffic_27PA,Traffic_27PA+(TrafChange_PA*(Table3D.2_DailyTTS_PA[[#This Row],[Year]]-2027)))</f>
        <v>231509.33333333334</v>
      </c>
      <c r="D65" s="164" cm="1">
        <f t="array" ref="D65">IF(Table3D.2_DailyTTS_PA[[#This Row],[Year]]=Closeout,VMT_27PA,VMT_27PA+(VMTChange_PA*(Table3D.2_DailyTTS_PA[[#This Row],[Year]]-2027)))</f>
        <v>737338.47666666668</v>
      </c>
      <c r="E65" s="164" cm="1">
        <f t="array" ref="E65">IF(Table3D.2_DailyTTS_PA[[#This Row],[Year]]=Closeout,VHT_27PA,VHT_27PA+(VHTChange_PA*(Table3D.2_DailyTTS_PA[[#This Row],[Year]]-2027)))</f>
        <v>16866.66244537037</v>
      </c>
      <c r="F65" s="164" cm="1">
        <f t="array" ref="F65">IF(Table3D.2_DailyTTS_PA[[#This Row],[Year]]=Closeout,MPH_27PA,MPH_27PA+(MPHChange_PA*(Table3D.2_DailyTTS_PA[[#This Row],[Year]]-2027)))</f>
        <v>45.611111111111107</v>
      </c>
      <c r="G65" s="164" cm="1">
        <f t="array" ref="G65">IF(Table3D.2_DailyTTS_PA[[#This Row],[Year]]=Closeout,DelayTot_27PA,DelayTot_27PA+(DelayTotChange_PA*(Table3D.2_DailyTTS_PA[[#This Row],[Year]]-2027)))</f>
        <v>2789.732137962963</v>
      </c>
      <c r="H65" s="165" cm="1">
        <f t="array" ref="H65">IF(Table3D.2_DailyTTS_PA[[#This Row],[Year]]=Closeout,AvgDelay_27PA,AvgDelay_27PA+(DelayChange_PA*(Table3D.2_DailyTTS_PA[[#This Row],[Year]]-2027)))</f>
        <v>1.0231111111111113E-2</v>
      </c>
    </row>
    <row r="66" spans="2:8">
      <c r="B66" s="122">
        <f>First_Year+'Appendix B. Project Information'!B35</f>
        <v>2038</v>
      </c>
      <c r="C66" s="172" cm="1">
        <f t="array" ref="C66">IF(Table3D.2_DailyTTS_PA[[#This Row],[Year]]=Closeout,Traffic_27PA,Traffic_27PA+(TrafChange_PA*(Table3D.2_DailyTTS_PA[[#This Row],[Year]]-2027)))</f>
        <v>232483.66666666666</v>
      </c>
      <c r="D66" s="164" cm="1">
        <f t="array" ref="D66">IF(Table3D.2_DailyTTS_PA[[#This Row],[Year]]=Closeout,VMT_27PA,VMT_27PA+(VMTChange_PA*(Table3D.2_DailyTTS_PA[[#This Row],[Year]]-2027)))</f>
        <v>740240.41833333333</v>
      </c>
      <c r="E66" s="164" cm="1">
        <f t="array" ref="E66">IF(Table3D.2_DailyTTS_PA[[#This Row],[Year]]=Closeout,VHT_27PA,VHT_27PA+(VHTChange_PA*(Table3D.2_DailyTTS_PA[[#This Row],[Year]]-2027)))</f>
        <v>17053.995979629628</v>
      </c>
      <c r="F66" s="164" cm="1">
        <f t="array" ref="F66">IF(Table3D.2_DailyTTS_PA[[#This Row],[Year]]=Closeout,MPH_27PA,MPH_27PA+(MPHChange_PA*(Table3D.2_DailyTTS_PA[[#This Row],[Year]]-2027)))</f>
        <v>45.408222222222221</v>
      </c>
      <c r="G66" s="164" cm="1">
        <f t="array" ref="G66">IF(Table3D.2_DailyTTS_PA[[#This Row],[Year]]=Closeout,DelayTot_27PA,DelayTot_27PA+(DelayTotChange_PA*(Table3D.2_DailyTTS_PA[[#This Row],[Year]]-2027)))</f>
        <v>2922.1363725925921</v>
      </c>
      <c r="H66" s="165" cm="1">
        <f t="array" ref="H66">IF(Table3D.2_DailyTTS_PA[[#This Row],[Year]]=Closeout,AvgDelay_27PA,AvgDelay_27PA+(DelayChange_PA*(Table3D.2_DailyTTS_PA[[#This Row],[Year]]-2027)))</f>
        <v>1.0644055555555556E-2</v>
      </c>
    </row>
    <row r="67" spans="2:8">
      <c r="B67" s="122">
        <f>First_Year+'Appendix B. Project Information'!B36</f>
        <v>2039</v>
      </c>
      <c r="C67" s="172" cm="1">
        <f t="array" ref="C67">IF(Table3D.2_DailyTTS_PA[[#This Row],[Year]]=Closeout,Traffic_27PA,Traffic_27PA+(TrafChange_PA*(Table3D.2_DailyTTS_PA[[#This Row],[Year]]-2027)))</f>
        <v>233458</v>
      </c>
      <c r="D67" s="164" cm="1">
        <f t="array" ref="D67">IF(Table3D.2_DailyTTS_PA[[#This Row],[Year]]=Closeout,VMT_27PA,VMT_27PA+(VMTChange_PA*(Table3D.2_DailyTTS_PA[[#This Row],[Year]]-2027)))</f>
        <v>743142.36</v>
      </c>
      <c r="E67" s="164" cm="1">
        <f t="array" ref="E67">IF(Table3D.2_DailyTTS_PA[[#This Row],[Year]]=Closeout,VHT_27PA,VHT_27PA+(VHTChange_PA*(Table3D.2_DailyTTS_PA[[#This Row],[Year]]-2027)))</f>
        <v>17241.329513888886</v>
      </c>
      <c r="F67" s="164" cm="1">
        <f t="array" ref="F67">IF(Table3D.2_DailyTTS_PA[[#This Row],[Year]]=Closeout,MPH_27PA,MPH_27PA+(MPHChange_PA*(Table3D.2_DailyTTS_PA[[#This Row],[Year]]-2027)))</f>
        <v>45.205333333333328</v>
      </c>
      <c r="G67" s="164" cm="1">
        <f t="array" ref="G67">IF(Table3D.2_DailyTTS_PA[[#This Row],[Year]]=Closeout,DelayTot_27PA,DelayTot_27PA+(DelayTotChange_PA*(Table3D.2_DailyTTS_PA[[#This Row],[Year]]-2027)))</f>
        <v>3054.5406072222222</v>
      </c>
      <c r="H67" s="165" cm="1">
        <f t="array" ref="H67">IF(Table3D.2_DailyTTS_PA[[#This Row],[Year]]=Closeout,AvgDelay_27PA,AvgDelay_27PA+(DelayChange_PA*(Table3D.2_DailyTTS_PA[[#This Row],[Year]]-2027)))</f>
        <v>1.1057000000000001E-2</v>
      </c>
    </row>
    <row r="68" spans="2:8">
      <c r="B68" s="122">
        <f>First_Year+'Appendix B. Project Information'!B37</f>
        <v>2040</v>
      </c>
      <c r="C68" s="172" cm="1">
        <f t="array" ref="C68">IF(Table3D.2_DailyTTS_PA[[#This Row],[Year]]=Closeout,Traffic_27PA,Traffic_27PA+(TrafChange_PA*(Table3D.2_DailyTTS_PA[[#This Row],[Year]]-2027)))</f>
        <v>234432.33333333334</v>
      </c>
      <c r="D68" s="164" cm="1">
        <f t="array" ref="D68">IF(Table3D.2_DailyTTS_PA[[#This Row],[Year]]=Closeout,VMT_27PA,VMT_27PA+(VMTChange_PA*(Table3D.2_DailyTTS_PA[[#This Row],[Year]]-2027)))</f>
        <v>746044.30166666664</v>
      </c>
      <c r="E68" s="164" cm="1">
        <f t="array" ref="E68">IF(Table3D.2_DailyTTS_PA[[#This Row],[Year]]=Closeout,VHT_27PA,VHT_27PA+(VHTChange_PA*(Table3D.2_DailyTTS_PA[[#This Row],[Year]]-2027)))</f>
        <v>17428.663048148148</v>
      </c>
      <c r="F68" s="164" cm="1">
        <f t="array" ref="F68">IF(Table3D.2_DailyTTS_PA[[#This Row],[Year]]=Closeout,MPH_27PA,MPH_27PA+(MPHChange_PA*(Table3D.2_DailyTTS_PA[[#This Row],[Year]]-2027)))</f>
        <v>45.002444444444443</v>
      </c>
      <c r="G68" s="164" cm="1">
        <f t="array" ref="G68">IF(Table3D.2_DailyTTS_PA[[#This Row],[Year]]=Closeout,DelayTot_27PA,DelayTot_27PA+(DelayTotChange_PA*(Table3D.2_DailyTTS_PA[[#This Row],[Year]]-2027)))</f>
        <v>3186.9448418518514</v>
      </c>
      <c r="H68" s="165" cm="1">
        <f t="array" ref="H68">IF(Table3D.2_DailyTTS_PA[[#This Row],[Year]]=Closeout,AvgDelay_27PA,AvgDelay_27PA+(DelayChange_PA*(Table3D.2_DailyTTS_PA[[#This Row],[Year]]-2027)))</f>
        <v>1.1469944444444446E-2</v>
      </c>
    </row>
    <row r="69" spans="2:8">
      <c r="B69" s="122">
        <f>First_Year+'Appendix B. Project Information'!B38</f>
        <v>2041</v>
      </c>
      <c r="C69" s="172" cm="1">
        <f t="array" ref="C69">IF(Table3D.2_DailyTTS_PA[[#This Row],[Year]]=Closeout,Traffic_27PA,Traffic_27PA+(TrafChange_PA*(Table3D.2_DailyTTS_PA[[#This Row],[Year]]-2027)))</f>
        <v>235406.66666666666</v>
      </c>
      <c r="D69" s="164" cm="1">
        <f t="array" ref="D69">IF(Table3D.2_DailyTTS_PA[[#This Row],[Year]]=Closeout,VMT_27PA,VMT_27PA+(VMTChange_PA*(Table3D.2_DailyTTS_PA[[#This Row],[Year]]-2027)))</f>
        <v>748946.24333333329</v>
      </c>
      <c r="E69" s="164" cm="1">
        <f t="array" ref="E69">IF(Table3D.2_DailyTTS_PA[[#This Row],[Year]]=Closeout,VHT_27PA,VHT_27PA+(VHTChange_PA*(Table3D.2_DailyTTS_PA[[#This Row],[Year]]-2027)))</f>
        <v>17615.996582407406</v>
      </c>
      <c r="F69" s="164" cm="1">
        <f t="array" ref="F69">IF(Table3D.2_DailyTTS_PA[[#This Row],[Year]]=Closeout,MPH_27PA,MPH_27PA+(MPHChange_PA*(Table3D.2_DailyTTS_PA[[#This Row],[Year]]-2027)))</f>
        <v>44.799555555555557</v>
      </c>
      <c r="G69" s="164" cm="1">
        <f t="array" ref="G69">IF(Table3D.2_DailyTTS_PA[[#This Row],[Year]]=Closeout,DelayTot_27PA,DelayTot_27PA+(DelayTotChange_PA*(Table3D.2_DailyTTS_PA[[#This Row],[Year]]-2027)))</f>
        <v>3319.3490764814815</v>
      </c>
      <c r="H69" s="165" cm="1">
        <f t="array" ref="H69">IF(Table3D.2_DailyTTS_PA[[#This Row],[Year]]=Closeout,AvgDelay_27PA,AvgDelay_27PA+(DelayChange_PA*(Table3D.2_DailyTTS_PA[[#This Row],[Year]]-2027)))</f>
        <v>1.1882888888888891E-2</v>
      </c>
    </row>
    <row r="70" spans="2:8">
      <c r="B70" s="122">
        <f>First_Year+'Appendix B. Project Information'!B39</f>
        <v>2042</v>
      </c>
      <c r="C70" s="172" cm="1">
        <f t="array" ref="C70">IF(Table3D.2_DailyTTS_PA[[#This Row],[Year]]=Closeout,Traffic_27PA,Traffic_27PA+(TrafChange_PA*(Table3D.2_DailyTTS_PA[[#This Row],[Year]]-2027)))</f>
        <v>236381</v>
      </c>
      <c r="D70" s="164" cm="1">
        <f t="array" ref="D70">IF(Table3D.2_DailyTTS_PA[[#This Row],[Year]]=Closeout,VMT_27PA,VMT_27PA+(VMTChange_PA*(Table3D.2_DailyTTS_PA[[#This Row],[Year]]-2027)))</f>
        <v>751848.18500000006</v>
      </c>
      <c r="E70" s="164" cm="1">
        <f t="array" ref="E70">IF(Table3D.2_DailyTTS_PA[[#This Row],[Year]]=Closeout,VHT_27PA,VHT_27PA+(VHTChange_PA*(Table3D.2_DailyTTS_PA[[#This Row],[Year]]-2027)))</f>
        <v>17803.330116666664</v>
      </c>
      <c r="F70" s="164" cm="1">
        <f t="array" ref="F70">IF(Table3D.2_DailyTTS_PA[[#This Row],[Year]]=Closeout,MPH_27PA,MPH_27PA+(MPHChange_PA*(Table3D.2_DailyTTS_PA[[#This Row],[Year]]-2027)))</f>
        <v>44.596666666666664</v>
      </c>
      <c r="G70" s="164" cm="1">
        <f t="array" ref="G70">IF(Table3D.2_DailyTTS_PA[[#This Row],[Year]]=Closeout,DelayTot_27PA,DelayTot_27PA+(DelayTotChange_PA*(Table3D.2_DailyTTS_PA[[#This Row],[Year]]-2027)))</f>
        <v>3451.7533111111106</v>
      </c>
      <c r="H70" s="165" cm="1">
        <f t="array" ref="H70">IF(Table3D.2_DailyTTS_PA[[#This Row],[Year]]=Closeout,AvgDelay_27PA,AvgDelay_27PA+(DelayChange_PA*(Table3D.2_DailyTTS_PA[[#This Row],[Year]]-2027)))</f>
        <v>1.2295833333333336E-2</v>
      </c>
    </row>
    <row r="71" spans="2:8">
      <c r="B71" s="122">
        <f>First_Year+'Appendix B. Project Information'!B40</f>
        <v>2043</v>
      </c>
      <c r="C71" s="172" cm="1">
        <f t="array" ref="C71">IF(Table3D.2_DailyTTS_PA[[#This Row],[Year]]=Closeout,Traffic_27PA,Traffic_27PA+(TrafChange_PA*(Table3D.2_DailyTTS_PA[[#This Row],[Year]]-2027)))</f>
        <v>237355.33333333334</v>
      </c>
      <c r="D71" s="164" cm="1">
        <f t="array" ref="D71">IF(Table3D.2_DailyTTS_PA[[#This Row],[Year]]=Closeout,VMT_27PA,VMT_27PA+(VMTChange_PA*(Table3D.2_DailyTTS_PA[[#This Row],[Year]]-2027)))</f>
        <v>754750.12666666671</v>
      </c>
      <c r="E71" s="164" cm="1">
        <f t="array" ref="E71">IF(Table3D.2_DailyTTS_PA[[#This Row],[Year]]=Closeout,VHT_27PA,VHT_27PA+(VHTChange_PA*(Table3D.2_DailyTTS_PA[[#This Row],[Year]]-2027)))</f>
        <v>17990.663650925926</v>
      </c>
      <c r="F71" s="164" cm="1">
        <f t="array" ref="F71">IF(Table3D.2_DailyTTS_PA[[#This Row],[Year]]=Closeout,MPH_27PA,MPH_27PA+(MPHChange_PA*(Table3D.2_DailyTTS_PA[[#This Row],[Year]]-2027)))</f>
        <v>44.393777777777778</v>
      </c>
      <c r="G71" s="164" cm="1">
        <f t="array" ref="G71">IF(Table3D.2_DailyTTS_PA[[#This Row],[Year]]=Closeout,DelayTot_27PA,DelayTot_27PA+(DelayTotChange_PA*(Table3D.2_DailyTTS_PA[[#This Row],[Year]]-2027)))</f>
        <v>3584.1575457407407</v>
      </c>
      <c r="H71" s="165" cm="1">
        <f t="array" ref="H71">IF(Table3D.2_DailyTTS_PA[[#This Row],[Year]]=Closeout,AvgDelay_27PA,AvgDelay_27PA+(DelayChange_PA*(Table3D.2_DailyTTS_PA[[#This Row],[Year]]-2027)))</f>
        <v>1.2708777777777781E-2</v>
      </c>
    </row>
    <row r="72" spans="2:8">
      <c r="B72" s="122">
        <f>First_Year+'Appendix B. Project Information'!B41</f>
        <v>2044</v>
      </c>
      <c r="C72" s="172" cm="1">
        <f t="array" ref="C72">IF(Table3D.2_DailyTTS_PA[[#This Row],[Year]]=Closeout,Traffic_27PA,Traffic_27PA+(TrafChange_PA*(Table3D.2_DailyTTS_PA[[#This Row],[Year]]-2027)))</f>
        <v>238329.66666666666</v>
      </c>
      <c r="D72" s="164" cm="1">
        <f t="array" ref="D72">IF(Table3D.2_DailyTTS_PA[[#This Row],[Year]]=Closeout,VMT_27PA,VMT_27PA+(VMTChange_PA*(Table3D.2_DailyTTS_PA[[#This Row],[Year]]-2027)))</f>
        <v>757652.06833333336</v>
      </c>
      <c r="E72" s="164" cm="1">
        <f t="array" ref="E72">IF(Table3D.2_DailyTTS_PA[[#This Row],[Year]]=Closeout,VHT_27PA,VHT_27PA+(VHTChange_PA*(Table3D.2_DailyTTS_PA[[#This Row],[Year]]-2027)))</f>
        <v>18177.997185185184</v>
      </c>
      <c r="F72" s="164" cm="1">
        <f t="array" ref="F72">IF(Table3D.2_DailyTTS_PA[[#This Row],[Year]]=Closeout,MPH_27PA,MPH_27PA+(MPHChange_PA*(Table3D.2_DailyTTS_PA[[#This Row],[Year]]-2027)))</f>
        <v>44.190888888888885</v>
      </c>
      <c r="G72" s="164" cm="1">
        <f t="array" ref="G72">IF(Table3D.2_DailyTTS_PA[[#This Row],[Year]]=Closeout,DelayTot_27PA,DelayTot_27PA+(DelayTotChange_PA*(Table3D.2_DailyTTS_PA[[#This Row],[Year]]-2027)))</f>
        <v>3716.5617803703699</v>
      </c>
      <c r="H72" s="165" cm="1">
        <f t="array" ref="H72">IF(Table3D.2_DailyTTS_PA[[#This Row],[Year]]=Closeout,AvgDelay_27PA,AvgDelay_27PA+(DelayChange_PA*(Table3D.2_DailyTTS_PA[[#This Row],[Year]]-2027)))</f>
        <v>1.3121722222222226E-2</v>
      </c>
    </row>
    <row r="73" spans="2:8">
      <c r="B73" s="122">
        <f>First_Year+'Appendix B. Project Information'!B42</f>
        <v>2045</v>
      </c>
      <c r="C73" s="172" cm="1">
        <f t="array" ref="C73">IF(Table3D.2_DailyTTS_PA[[#This Row],[Year]]=Closeout,Traffic_27PA,Traffic_27PA+(TrafChange_PA*(Table3D.2_DailyTTS_PA[[#This Row],[Year]]-2027)))</f>
        <v>239304</v>
      </c>
      <c r="D73" s="164" cm="1">
        <f t="array" ref="D73">IF(Table3D.2_DailyTTS_PA[[#This Row],[Year]]=Closeout,VMT_27PA,VMT_27PA+(VMTChange_PA*(Table3D.2_DailyTTS_PA[[#This Row],[Year]]-2027)))</f>
        <v>760554.01</v>
      </c>
      <c r="E73" s="164" cm="1">
        <f t="array" ref="E73">IF(Table3D.2_DailyTTS_PA[[#This Row],[Year]]=Closeout,VHT_27PA,VHT_27PA+(VHTChange_PA*(Table3D.2_DailyTTS_PA[[#This Row],[Year]]-2027)))</f>
        <v>18365.330719444442</v>
      </c>
      <c r="F73" s="164" cm="1">
        <f t="array" ref="F73">IF(Table3D.2_DailyTTS_PA[[#This Row],[Year]]=Closeout,MPH_27PA,MPH_27PA+(MPHChange_PA*(Table3D.2_DailyTTS_PA[[#This Row],[Year]]-2027)))</f>
        <v>43.988</v>
      </c>
      <c r="G73" s="164" cm="1">
        <f t="array" ref="G73">IF(Table3D.2_DailyTTS_PA[[#This Row],[Year]]=Closeout,DelayTot_27PA,DelayTot_27PA+(DelayTotChange_PA*(Table3D.2_DailyTTS_PA[[#This Row],[Year]]-2027)))</f>
        <v>3848.966015</v>
      </c>
      <c r="H73" s="165" cm="1">
        <f t="array" ref="H73">IF(Table3D.2_DailyTTS_PA[[#This Row],[Year]]=Closeout,AvgDelay_27PA,AvgDelay_27PA+(DelayChange_PA*(Table3D.2_DailyTTS_PA[[#This Row],[Year]]-2027)))</f>
        <v>1.3534666666666669E-2</v>
      </c>
    </row>
    <row r="74" spans="2:8">
      <c r="B74" s="122">
        <f>First_Year+'Appendix B. Project Information'!B43</f>
        <v>2046</v>
      </c>
      <c r="C74" s="172" cm="1">
        <f t="array" ref="C74">IF(Table3D.2_DailyTTS_PA[[#This Row],[Year]]=Closeout,Traffic_27PA,Traffic_27PA+(TrafChange_PA*(Table3D.2_DailyTTS_PA[[#This Row],[Year]]-2027)))</f>
        <v>240278.33333333334</v>
      </c>
      <c r="D74" s="164" cm="1">
        <f t="array" ref="D74">IF(Table3D.2_DailyTTS_PA[[#This Row],[Year]]=Closeout,VMT_27PA,VMT_27PA+(VMTChange_PA*(Table3D.2_DailyTTS_PA[[#This Row],[Year]]-2027)))</f>
        <v>763455.95166666666</v>
      </c>
      <c r="E74" s="164" cm="1">
        <f t="array" ref="E74">IF(Table3D.2_DailyTTS_PA[[#This Row],[Year]]=Closeout,VHT_27PA,VHT_27PA+(VHTChange_PA*(Table3D.2_DailyTTS_PA[[#This Row],[Year]]-2027)))</f>
        <v>18552.664253703704</v>
      </c>
      <c r="F74" s="164" cm="1">
        <f t="array" ref="F74">IF(Table3D.2_DailyTTS_PA[[#This Row],[Year]]=Closeout,MPH_27PA,MPH_27PA+(MPHChange_PA*(Table3D.2_DailyTTS_PA[[#This Row],[Year]]-2027)))</f>
        <v>43.785111111111107</v>
      </c>
      <c r="G74" s="164" cm="1">
        <f t="array" ref="G74">IF(Table3D.2_DailyTTS_PA[[#This Row],[Year]]=Closeout,DelayTot_27PA,DelayTot_27PA+(DelayTotChange_PA*(Table3D.2_DailyTTS_PA[[#This Row],[Year]]-2027)))</f>
        <v>3981.3702496296291</v>
      </c>
      <c r="H74" s="165" cm="1">
        <f t="array" ref="H74">IF(Table3D.2_DailyTTS_PA[[#This Row],[Year]]=Closeout,AvgDelay_27PA,AvgDelay_27PA+(DelayChange_PA*(Table3D.2_DailyTTS_PA[[#This Row],[Year]]-2027)))</f>
        <v>1.3947611111111114E-2</v>
      </c>
    </row>
    <row r="75" spans="2:8">
      <c r="B75" s="122">
        <f>First_Year+'Appendix B. Project Information'!B44</f>
        <v>2047</v>
      </c>
      <c r="C75" s="172" cm="1">
        <f t="array" ref="C75">IF(Table3D.2_DailyTTS_PA[[#This Row],[Year]]=Closeout,Traffic_27PA,Traffic_27PA+(TrafChange_PA*(Table3D.2_DailyTTS_PA[[#This Row],[Year]]-2027)))</f>
        <v>241252.66666666666</v>
      </c>
      <c r="D75" s="164" cm="1">
        <f t="array" ref="D75">IF(Table3D.2_DailyTTS_PA[[#This Row],[Year]]=Closeout,VMT_27PA,VMT_27PA+(VMTChange_PA*(Table3D.2_DailyTTS_PA[[#This Row],[Year]]-2027)))</f>
        <v>766357.89333333331</v>
      </c>
      <c r="E75" s="164" cm="1">
        <f t="array" ref="E75">IF(Table3D.2_DailyTTS_PA[[#This Row],[Year]]=Closeout,VHT_27PA,VHT_27PA+(VHTChange_PA*(Table3D.2_DailyTTS_PA[[#This Row],[Year]]-2027)))</f>
        <v>18739.997787962962</v>
      </c>
      <c r="F75" s="164" cm="1">
        <f t="array" ref="F75">IF(Table3D.2_DailyTTS_PA[[#This Row],[Year]]=Closeout,MPH_27PA,MPH_27PA+(MPHChange_PA*(Table3D.2_DailyTTS_PA[[#This Row],[Year]]-2027)))</f>
        <v>43.582222222222221</v>
      </c>
      <c r="G75" s="164" cm="1">
        <f t="array" ref="G75">IF(Table3D.2_DailyTTS_PA[[#This Row],[Year]]=Closeout,DelayTot_27PA,DelayTot_27PA+(DelayTotChange_PA*(Table3D.2_DailyTTS_PA[[#This Row],[Year]]-2027)))</f>
        <v>4113.7744842592592</v>
      </c>
      <c r="H75" s="165" cm="1">
        <f t="array" ref="H75">IF(Table3D.2_DailyTTS_PA[[#This Row],[Year]]=Closeout,AvgDelay_27PA,AvgDelay_27PA+(DelayChange_PA*(Table3D.2_DailyTTS_PA[[#This Row],[Year]]-2027)))</f>
        <v>1.4360555555555559E-2</v>
      </c>
    </row>
    <row r="76" spans="2:8">
      <c r="B76" s="122">
        <f>First_Year+'Appendix B. Project Information'!B45</f>
        <v>2048</v>
      </c>
      <c r="C76" s="172" cm="1">
        <f t="array" ref="C76">IF(Table3D.2_DailyTTS_PA[[#This Row],[Year]]=Closeout,Traffic_27PA,Traffic_27PA+(TrafChange_PA*(Table3D.2_DailyTTS_PA[[#This Row],[Year]]-2027)))</f>
        <v>242227</v>
      </c>
      <c r="D76" s="164" cm="1">
        <f t="array" ref="D76">IF(Table3D.2_DailyTTS_PA[[#This Row],[Year]]=Closeout,VMT_27PA,VMT_27PA+(VMTChange_PA*(Table3D.2_DailyTTS_PA[[#This Row],[Year]]-2027)))</f>
        <v>769259.83499999996</v>
      </c>
      <c r="E76" s="164" cm="1">
        <f t="array" ref="E76">IF(Table3D.2_DailyTTS_PA[[#This Row],[Year]]=Closeout,VHT_27PA,VHT_27PA+(VHTChange_PA*(Table3D.2_DailyTTS_PA[[#This Row],[Year]]-2027)))</f>
        <v>18927.33132222222</v>
      </c>
      <c r="F76" s="164" cm="1">
        <f t="array" ref="F76">IF(Table3D.2_DailyTTS_PA[[#This Row],[Year]]=Closeout,MPH_27PA,MPH_27PA+(MPHChange_PA*(Table3D.2_DailyTTS_PA[[#This Row],[Year]]-2027)))</f>
        <v>43.379333333333328</v>
      </c>
      <c r="G76" s="164" cm="1">
        <f t="array" ref="G76">IF(Table3D.2_DailyTTS_PA[[#This Row],[Year]]=Closeout,DelayTot_27PA,DelayTot_27PA+(DelayTotChange_PA*(Table3D.2_DailyTTS_PA[[#This Row],[Year]]-2027)))</f>
        <v>4246.1787188888884</v>
      </c>
      <c r="H76" s="165" cm="1">
        <f t="array" ref="H76">IF(Table3D.2_DailyTTS_PA[[#This Row],[Year]]=Closeout,AvgDelay_27PA,AvgDelay_27PA+(DelayChange_PA*(Table3D.2_DailyTTS_PA[[#This Row],[Year]]-2027)))</f>
        <v>1.4773500000000002E-2</v>
      </c>
    </row>
    <row r="77" spans="2:8">
      <c r="B77" s="122">
        <f>First_Year+'Appendix B. Project Information'!B46</f>
        <v>2049</v>
      </c>
      <c r="C77" s="172" cm="1">
        <f t="array" ref="C77">IF(Table3D.2_DailyTTS_PA[[#This Row],[Year]]=Closeout,Traffic_27PA,Traffic_27PA+(TrafChange_PA*(Table3D.2_DailyTTS_PA[[#This Row],[Year]]-2027)))</f>
        <v>243201.33333333334</v>
      </c>
      <c r="D77" s="164" cm="1">
        <f t="array" ref="D77">IF(Table3D.2_DailyTTS_PA[[#This Row],[Year]]=Closeout,VMT_27PA,VMT_27PA+(VMTChange_PA*(Table3D.2_DailyTTS_PA[[#This Row],[Year]]-2027)))</f>
        <v>772161.77666666673</v>
      </c>
      <c r="E77" s="164" cm="1">
        <f t="array" ref="E77">IF(Table3D.2_DailyTTS_PA[[#This Row],[Year]]=Closeout,VHT_27PA,VHT_27PA+(VHTChange_PA*(Table3D.2_DailyTTS_PA[[#This Row],[Year]]-2027)))</f>
        <v>19114.664856481482</v>
      </c>
      <c r="F77" s="164" cm="1">
        <f t="array" ref="F77">IF(Table3D.2_DailyTTS_PA[[#This Row],[Year]]=Closeout,MPH_27PA,MPH_27PA+(MPHChange_PA*(Table3D.2_DailyTTS_PA[[#This Row],[Year]]-2027)))</f>
        <v>43.176444444444442</v>
      </c>
      <c r="G77" s="164" cm="1">
        <f t="array" ref="G77">IF(Table3D.2_DailyTTS_PA[[#This Row],[Year]]=Closeout,DelayTot_27PA,DelayTot_27PA+(DelayTotChange_PA*(Table3D.2_DailyTTS_PA[[#This Row],[Year]]-2027)))</f>
        <v>4378.5829535185185</v>
      </c>
      <c r="H77" s="165" cm="1">
        <f t="array" ref="H77">IF(Table3D.2_DailyTTS_PA[[#This Row],[Year]]=Closeout,AvgDelay_27PA,AvgDelay_27PA+(DelayChange_PA*(Table3D.2_DailyTTS_PA[[#This Row],[Year]]-2027)))</f>
        <v>1.5186444444444447E-2</v>
      </c>
    </row>
    <row r="78" spans="2:8">
      <c r="B78" s="122">
        <f>First_Year+'Appendix B. Project Information'!B47</f>
        <v>2050</v>
      </c>
      <c r="C78" s="172" cm="1">
        <f t="array" ref="C78">IF(Table3D.2_DailyTTS_PA[[#This Row],[Year]]=Closeout,Traffic_27PA,Traffic_27PA+(TrafChange_PA*(Table3D.2_DailyTTS_PA[[#This Row],[Year]]-2027)))</f>
        <v>244175.66666666666</v>
      </c>
      <c r="D78" s="164" cm="1">
        <f t="array" ref="D78">IF(Table3D.2_DailyTTS_PA[[#This Row],[Year]]=Closeout,VMT_27PA,VMT_27PA+(VMTChange_PA*(Table3D.2_DailyTTS_PA[[#This Row],[Year]]-2027)))</f>
        <v>775063.71833333338</v>
      </c>
      <c r="E78" s="164" cm="1">
        <f t="array" ref="E78">IF(Table3D.2_DailyTTS_PA[[#This Row],[Year]]=Closeout,VHT_27PA,VHT_27PA+(VHTChange_PA*(Table3D.2_DailyTTS_PA[[#This Row],[Year]]-2027)))</f>
        <v>19301.99839074074</v>
      </c>
      <c r="F78" s="164" cm="1">
        <f t="array" ref="F78">IF(Table3D.2_DailyTTS_PA[[#This Row],[Year]]=Closeout,MPH_27PA,MPH_27PA+(MPHChange_PA*(Table3D.2_DailyTTS_PA[[#This Row],[Year]]-2027)))</f>
        <v>42.973555555555549</v>
      </c>
      <c r="G78" s="164" cm="1">
        <f t="array" ref="G78">IF(Table3D.2_DailyTTS_PA[[#This Row],[Year]]=Closeout,DelayTot_27PA,DelayTot_27PA+(DelayTotChange_PA*(Table3D.2_DailyTTS_PA[[#This Row],[Year]]-2027)))</f>
        <v>4510.9871881481477</v>
      </c>
      <c r="H78" s="165" cm="1">
        <f t="array" ref="H78">IF(Table3D.2_DailyTTS_PA[[#This Row],[Year]]=Closeout,AvgDelay_27PA,AvgDelay_27PA+(DelayChange_PA*(Table3D.2_DailyTTS_PA[[#This Row],[Year]]-2027)))</f>
        <v>1.5599388888888892E-2</v>
      </c>
    </row>
    <row r="79" spans="2:8">
      <c r="B79" s="122">
        <f>First_Year+'Appendix B. Project Information'!B48</f>
        <v>2051</v>
      </c>
      <c r="C79" s="172" cm="1">
        <f t="array" ref="C79">IF(Table3D.2_DailyTTS_PA[[#This Row],[Year]]=Closeout,Traffic_27PA,Traffic_27PA+(TrafChange_PA*(Table3D.2_DailyTTS_PA[[#This Row],[Year]]-2027)))</f>
        <v>245150</v>
      </c>
      <c r="D79" s="164" cm="1">
        <f t="array" ref="D79">IF(Table3D.2_DailyTTS_PA[[#This Row],[Year]]=Closeout,VMT_27PA,VMT_27PA+(VMTChange_PA*(Table3D.2_DailyTTS_PA[[#This Row],[Year]]-2027)))</f>
        <v>777965.66</v>
      </c>
      <c r="E79" s="164" cm="1">
        <f t="array" ref="E79">IF(Table3D.2_DailyTTS_PA[[#This Row],[Year]]=Closeout,VHT_27PA,VHT_27PA+(VHTChange_PA*(Table3D.2_DailyTTS_PA[[#This Row],[Year]]-2027)))</f>
        <v>19489.331924999999</v>
      </c>
      <c r="F79" s="164" cm="1">
        <f t="array" ref="F79">IF(Table3D.2_DailyTTS_PA[[#This Row],[Year]]=Closeout,MPH_27PA,MPH_27PA+(MPHChange_PA*(Table3D.2_DailyTTS_PA[[#This Row],[Year]]-2027)))</f>
        <v>42.770666666666664</v>
      </c>
      <c r="G79" s="164" cm="1">
        <f t="array" ref="G79">IF(Table3D.2_DailyTTS_PA[[#This Row],[Year]]=Closeout,DelayTot_27PA,DelayTot_27PA+(DelayTotChange_PA*(Table3D.2_DailyTTS_PA[[#This Row],[Year]]-2027)))</f>
        <v>4643.3914227777777</v>
      </c>
      <c r="H79" s="165" cm="1">
        <f t="array" ref="H79">IF(Table3D.2_DailyTTS_PA[[#This Row],[Year]]=Closeout,AvgDelay_27PA,AvgDelay_27PA+(DelayChange_PA*(Table3D.2_DailyTTS_PA[[#This Row],[Year]]-2027)))</f>
        <v>1.6012333333333337E-2</v>
      </c>
    </row>
    <row r="80" spans="2:8">
      <c r="B80" s="122">
        <f>First_Year+'Appendix B. Project Information'!B49</f>
        <v>2052</v>
      </c>
      <c r="C80" s="172" cm="1">
        <f t="array" ref="C80">IF(Table3D.2_DailyTTS_PA[[#This Row],[Year]]=Closeout,Traffic_27PA,Traffic_27PA+(TrafChange_PA*(Table3D.2_DailyTTS_PA[[#This Row],[Year]]-2027)))</f>
        <v>246124.33333333334</v>
      </c>
      <c r="D80" s="164" cm="1">
        <f t="array" ref="D80">IF(Table3D.2_DailyTTS_PA[[#This Row],[Year]]=Closeout,VMT_27PA,VMT_27PA+(VMTChange_PA*(Table3D.2_DailyTTS_PA[[#This Row],[Year]]-2027)))</f>
        <v>780867.60166666668</v>
      </c>
      <c r="E80" s="164" cm="1">
        <f t="array" ref="E80">IF(Table3D.2_DailyTTS_PA[[#This Row],[Year]]=Closeout,VHT_27PA,VHT_27PA+(VHTChange_PA*(Table3D.2_DailyTTS_PA[[#This Row],[Year]]-2027)))</f>
        <v>19676.66545925926</v>
      </c>
      <c r="F80" s="164" cm="1">
        <f t="array" ref="F80">IF(Table3D.2_DailyTTS_PA[[#This Row],[Year]]=Closeout,MPH_27PA,MPH_27PA+(MPHChange_PA*(Table3D.2_DailyTTS_PA[[#This Row],[Year]]-2027)))</f>
        <v>42.567777777777771</v>
      </c>
      <c r="G80" s="164" cm="1">
        <f t="array" ref="G80">IF(Table3D.2_DailyTTS_PA[[#This Row],[Year]]=Closeout,DelayTot_27PA,DelayTot_27PA+(DelayTotChange_PA*(Table3D.2_DailyTTS_PA[[#This Row],[Year]]-2027)))</f>
        <v>4775.7956574074069</v>
      </c>
      <c r="H80" s="165" cm="1">
        <f t="array" ref="H80">IF(Table3D.2_DailyTTS_PA[[#This Row],[Year]]=Closeout,AvgDelay_27PA,AvgDelay_27PA+(DelayChange_PA*(Table3D.2_DailyTTS_PA[[#This Row],[Year]]-2027)))</f>
        <v>1.6425277777777782E-2</v>
      </c>
    </row>
    <row r="81" spans="2:8">
      <c r="B81" s="122">
        <f>First_Year+'Appendix B. Project Information'!B50</f>
        <v>2053</v>
      </c>
      <c r="C81" s="172" cm="1">
        <f t="array" ref="C81">IF(Table3D.2_DailyTTS_PA[[#This Row],[Year]]=Closeout,Traffic_27PA,Traffic_27PA+(TrafChange_PA*(Table3D.2_DailyTTS_PA[[#This Row],[Year]]-2027)))</f>
        <v>247098.66666666666</v>
      </c>
      <c r="D81" s="164" cm="1">
        <f t="array" ref="D81">IF(Table3D.2_DailyTTS_PA[[#This Row],[Year]]=Closeout,VMT_27PA,VMT_27PA+(VMTChange_PA*(Table3D.2_DailyTTS_PA[[#This Row],[Year]]-2027)))</f>
        <v>783769.54333333333</v>
      </c>
      <c r="E81" s="164" cm="1">
        <f t="array" ref="E81">IF(Table3D.2_DailyTTS_PA[[#This Row],[Year]]=Closeout,VHT_27PA,VHT_27PA+(VHTChange_PA*(Table3D.2_DailyTTS_PA[[#This Row],[Year]]-2027)))</f>
        <v>19863.998993518519</v>
      </c>
      <c r="F81" s="164" cm="1">
        <f t="array" ref="F81">IF(Table3D.2_DailyTTS_PA[[#This Row],[Year]]=Closeout,MPH_27PA,MPH_27PA+(MPHChange_PA*(Table3D.2_DailyTTS_PA[[#This Row],[Year]]-2027)))</f>
        <v>42.364888888888885</v>
      </c>
      <c r="G81" s="164" cm="1">
        <f t="array" ref="G81">IF(Table3D.2_DailyTTS_PA[[#This Row],[Year]]=Closeout,DelayTot_27PA,DelayTot_27PA+(DelayTotChange_PA*(Table3D.2_DailyTTS_PA[[#This Row],[Year]]-2027)))</f>
        <v>4908.199892037037</v>
      </c>
      <c r="H81" s="165" cm="1">
        <f t="array" ref="H81">IF(Table3D.2_DailyTTS_PA[[#This Row],[Year]]=Closeout,AvgDelay_27PA,AvgDelay_27PA+(DelayChange_PA*(Table3D.2_DailyTTS_PA[[#This Row],[Year]]-2027)))</f>
        <v>1.6838222222222227E-2</v>
      </c>
    </row>
    <row r="82" spans="2:8">
      <c r="B82" s="122">
        <f>First_Year+'Appendix B. Project Information'!B51</f>
        <v>2054</v>
      </c>
      <c r="C82" s="172" cm="1">
        <f t="array" ref="C82">IF(Table3D.2_DailyTTS_PA[[#This Row],[Year]]=Closeout,Traffic_27PA,Traffic_27PA+(TrafChange_PA*(Table3D.2_DailyTTS_PA[[#This Row],[Year]]-2027)))</f>
        <v>248073</v>
      </c>
      <c r="D82" s="164" cm="1">
        <f t="array" ref="D82">IF(Table3D.2_DailyTTS_PA[[#This Row],[Year]]=Closeout,VMT_27PA,VMT_27PA+(VMTChange_PA*(Table3D.2_DailyTTS_PA[[#This Row],[Year]]-2027)))</f>
        <v>786671.4850000001</v>
      </c>
      <c r="E82" s="164" cm="1">
        <f t="array" ref="E82">IF(Table3D.2_DailyTTS_PA[[#This Row],[Year]]=Closeout,VHT_27PA,VHT_27PA+(VHTChange_PA*(Table3D.2_DailyTTS_PA[[#This Row],[Year]]-2027)))</f>
        <v>20051.332527777777</v>
      </c>
      <c r="F82" s="164" cm="1">
        <f t="array" ref="F82">IF(Table3D.2_DailyTTS_PA[[#This Row],[Year]]=Closeout,MPH_27PA,MPH_27PA+(MPHChange_PA*(Table3D.2_DailyTTS_PA[[#This Row],[Year]]-2027)))</f>
        <v>42.161999999999992</v>
      </c>
      <c r="G82" s="164" cm="1">
        <f t="array" ref="G82">IF(Table3D.2_DailyTTS_PA[[#This Row],[Year]]=Closeout,DelayTot_27PA,DelayTot_27PA+(DelayTotChange_PA*(Table3D.2_DailyTTS_PA[[#This Row],[Year]]-2027)))</f>
        <v>5040.6041266666662</v>
      </c>
      <c r="H82" s="165" cm="1">
        <f t="array" ref="H82">IF(Table3D.2_DailyTTS_PA[[#This Row],[Year]]=Closeout,AvgDelay_27PA,AvgDelay_27PA+(DelayChange_PA*(Table3D.2_DailyTTS_PA[[#This Row],[Year]]-2027)))</f>
        <v>1.7251166666666672E-2</v>
      </c>
    </row>
    <row r="83" spans="2:8">
      <c r="B83" s="122">
        <f>First_Year+'Appendix B. Project Information'!B52</f>
        <v>2055</v>
      </c>
      <c r="C83" s="172" cm="1">
        <f t="array" ref="C83">IF(Table3D.2_DailyTTS_PA[[#This Row],[Year]]=Closeout,Traffic_27PA,Traffic_27PA+(TrafChange_PA*(Table3D.2_DailyTTS_PA[[#This Row],[Year]]-2027)))</f>
        <v>249047.33333333334</v>
      </c>
      <c r="D83" s="164" cm="1">
        <f t="array" ref="D83">IF(Table3D.2_DailyTTS_PA[[#This Row],[Year]]=Closeout,VMT_27PA,VMT_27PA+(VMTChange_PA*(Table3D.2_DailyTTS_PA[[#This Row],[Year]]-2027)))</f>
        <v>789573.42666666675</v>
      </c>
      <c r="E83" s="164" cm="1">
        <f t="array" ref="E83">IF(Table3D.2_DailyTTS_PA[[#This Row],[Year]]=Closeout,VHT_27PA,VHT_27PA+(VHTChange_PA*(Table3D.2_DailyTTS_PA[[#This Row],[Year]]-2027)))</f>
        <v>20238.666062037035</v>
      </c>
      <c r="F83" s="164" cm="1">
        <f t="array" ref="F83">IF(Table3D.2_DailyTTS_PA[[#This Row],[Year]]=Closeout,MPH_27PA,MPH_27PA+(MPHChange_PA*(Table3D.2_DailyTTS_PA[[#This Row],[Year]]-2027)))</f>
        <v>41.959111111111106</v>
      </c>
      <c r="G83" s="164" cm="1">
        <f t="array" ref="G83">IF(Table3D.2_DailyTTS_PA[[#This Row],[Year]]=Closeout,DelayTot_27PA,DelayTot_27PA+(DelayTotChange_PA*(Table3D.2_DailyTTS_PA[[#This Row],[Year]]-2027)))</f>
        <v>5173.0083612962962</v>
      </c>
      <c r="H83" s="165" cm="1">
        <f t="array" ref="H83">IF(Table3D.2_DailyTTS_PA[[#This Row],[Year]]=Closeout,AvgDelay_27PA,AvgDelay_27PA+(DelayChange_PA*(Table3D.2_DailyTTS_PA[[#This Row],[Year]]-2027)))</f>
        <v>1.7664111111111117E-2</v>
      </c>
    </row>
    <row r="84" spans="2:8">
      <c r="B84" s="122">
        <f>First_Year+'Appendix B. Project Information'!B53</f>
        <v>2056</v>
      </c>
      <c r="C84" s="172" cm="1">
        <f t="array" ref="C84">IF(Table3D.2_DailyTTS_PA[[#This Row],[Year]]=Closeout,Traffic_27PA,Traffic_27PA+(TrafChange_PA*(Table3D.2_DailyTTS_PA[[#This Row],[Year]]-2027)))</f>
        <v>250021.66666666666</v>
      </c>
      <c r="D84" s="164" cm="1">
        <f t="array" ref="D84">IF(Table3D.2_DailyTTS_PA[[#This Row],[Year]]=Closeout,VMT_27PA,VMT_27PA+(VMTChange_PA*(Table3D.2_DailyTTS_PA[[#This Row],[Year]]-2027)))</f>
        <v>792475.3683333334</v>
      </c>
      <c r="E84" s="164" cm="1">
        <f t="array" ref="E84">IF(Table3D.2_DailyTTS_PA[[#This Row],[Year]]=Closeout,VHT_27PA,VHT_27PA+(VHTChange_PA*(Table3D.2_DailyTTS_PA[[#This Row],[Year]]-2027)))</f>
        <v>20425.999596296293</v>
      </c>
      <c r="F84" s="164" cm="1">
        <f t="array" ref="F84">IF(Table3D.2_DailyTTS_PA[[#This Row],[Year]]=Closeout,MPH_27PA,MPH_27PA+(MPHChange_PA*(Table3D.2_DailyTTS_PA[[#This Row],[Year]]-2027)))</f>
        <v>41.75622222222222</v>
      </c>
      <c r="G84" s="164" cm="1">
        <f t="array" ref="G84">IF(Table3D.2_DailyTTS_PA[[#This Row],[Year]]=Closeout,DelayTot_27PA,DelayTot_27PA+(DelayTotChange_PA*(Table3D.2_DailyTTS_PA[[#This Row],[Year]]-2027)))</f>
        <v>5305.4125959259254</v>
      </c>
      <c r="H84" s="165" cm="1">
        <f t="array" ref="H84">IF(Table3D.2_DailyTTS_PA[[#This Row],[Year]]=Closeout,AvgDelay_27PA,AvgDelay_27PA+(DelayChange_PA*(Table3D.2_DailyTTS_PA[[#This Row],[Year]]-2027)))</f>
        <v>1.8077055555555561E-2</v>
      </c>
    </row>
    <row r="85" spans="2:8">
      <c r="B85" s="122">
        <f>First_Year+'Appendix B. Project Information'!B54</f>
        <v>2057</v>
      </c>
      <c r="C85" s="172" cm="1">
        <f t="array" ref="C85">IF(Table3D.2_DailyTTS_PA[[#This Row],[Year]]=Closeout,Traffic_27PA,Traffic_27PA+(TrafChange_PA*(Table3D.2_DailyTTS_PA[[#This Row],[Year]]-2027)))</f>
        <v>250996</v>
      </c>
      <c r="D85" s="164" cm="1">
        <f t="array" ref="D85">IF(Table3D.2_DailyTTS_PA[[#This Row],[Year]]=Closeout,VMT_27PA,VMT_27PA+(VMTChange_PA*(Table3D.2_DailyTTS_PA[[#This Row],[Year]]-2027)))</f>
        <v>795377.31</v>
      </c>
      <c r="E85" s="164" cm="1">
        <f t="array" ref="E85">IF(Table3D.2_DailyTTS_PA[[#This Row],[Year]]=Closeout,VHT_27PA,VHT_27PA+(VHTChange_PA*(Table3D.2_DailyTTS_PA[[#This Row],[Year]]-2027)))</f>
        <v>20613.333130555555</v>
      </c>
      <c r="F85" s="164" cm="1">
        <f t="array" ref="F85">IF(Table3D.2_DailyTTS_PA[[#This Row],[Year]]=Closeout,MPH_27PA,MPH_27PA+(MPHChange_PA*(Table3D.2_DailyTTS_PA[[#This Row],[Year]]-2027)))</f>
        <v>41.553333333333327</v>
      </c>
      <c r="G85" s="164" cm="1">
        <f t="array" ref="G85">IF(Table3D.2_DailyTTS_PA[[#This Row],[Year]]=Closeout,DelayTot_27PA,DelayTot_27PA+(DelayTotChange_PA*(Table3D.2_DailyTTS_PA[[#This Row],[Year]]-2027)))</f>
        <v>5437.8168305555555</v>
      </c>
      <c r="H85" s="165" cm="1">
        <f t="array" ref="H85">IF(Table3D.2_DailyTTS_PA[[#This Row],[Year]]=Closeout,AvgDelay_27PA,AvgDelay_27PA+(DelayChange_PA*(Table3D.2_DailyTTS_PA[[#This Row],[Year]]-2027)))</f>
        <v>1.8490000000000003E-2</v>
      </c>
    </row>
    <row r="86" spans="2:8">
      <c r="B86" s="122">
        <f>First_Year+'Appendix B. Project Information'!B55</f>
        <v>2058</v>
      </c>
      <c r="C86" s="172" cm="1">
        <f t="array" ref="C86">IF(Table3D.2_DailyTTS_PA[[#This Row],[Year]]=Closeout,Traffic_27PA,Traffic_27PA+(TrafChange_PA*(Table3D.2_DailyTTS_PA[[#This Row],[Year]]-2027)))</f>
        <v>251970.33333333334</v>
      </c>
      <c r="D86" s="164" cm="1">
        <f t="array" ref="D86">IF(Table3D.2_DailyTTS_PA[[#This Row],[Year]]=Closeout,VMT_27PA,VMT_27PA+(VMTChange_PA*(Table3D.2_DailyTTS_PA[[#This Row],[Year]]-2027)))</f>
        <v>798279.25166666671</v>
      </c>
      <c r="E86" s="164" cm="1">
        <f t="array" ref="E86">IF(Table3D.2_DailyTTS_PA[[#This Row],[Year]]=Closeout,VHT_27PA,VHT_27PA+(VHTChange_PA*(Table3D.2_DailyTTS_PA[[#This Row],[Year]]-2027)))</f>
        <v>20800.666664814813</v>
      </c>
      <c r="F86" s="164" cm="1">
        <f t="array" ref="F86">IF(Table3D.2_DailyTTS_PA[[#This Row],[Year]]=Closeout,MPH_27PA,MPH_27PA+(MPHChange_PA*(Table3D.2_DailyTTS_PA[[#This Row],[Year]]-2027)))</f>
        <v>41.350444444444442</v>
      </c>
      <c r="G86" s="164" cm="1">
        <f t="array" ref="G86">IF(Table3D.2_DailyTTS_PA[[#This Row],[Year]]=Closeout,DelayTot_27PA,DelayTot_27PA+(DelayTotChange_PA*(Table3D.2_DailyTTS_PA[[#This Row],[Year]]-2027)))</f>
        <v>5570.2210651851847</v>
      </c>
      <c r="H86" s="165" cm="1">
        <f t="array" ref="H86">IF(Table3D.2_DailyTTS_PA[[#This Row],[Year]]=Closeout,AvgDelay_27PA,AvgDelay_27PA+(DelayChange_PA*(Table3D.2_DailyTTS_PA[[#This Row],[Year]]-2027)))</f>
        <v>1.8902944444444448E-2</v>
      </c>
    </row>
    <row r="87" spans="2:8">
      <c r="B87" s="81" t="s">
        <v>127</v>
      </c>
      <c r="C87" s="174">
        <f>SUBTOTAL(101,Table3D.2_DailyTTS_PA[Total Traffic in Network (Veh/Day)])</f>
        <v>234919.5</v>
      </c>
      <c r="D87" s="153">
        <f>SUBTOTAL(101,Table3D.2_DailyTTS_PA[Vehicle Miles Traveled (VMT/Day)])</f>
        <v>747495.27249999996</v>
      </c>
      <c r="E87" s="153">
        <f>SUBTOTAL(101,Table3D.2_DailyTTS_PA[Vehicle Hours Traveled (VHT/Day)])</f>
        <v>17522.329815277775</v>
      </c>
      <c r="F87" s="153">
        <f>SUBTOTAL(101,Table3D.2_DailyTTS_PA[Average Speed (MPH)])</f>
        <v>44.900999999999996</v>
      </c>
      <c r="G87" s="153">
        <f>SUBTOTAL(101,Table3D.2_DailyTTS_PA[Total Delay (hrs/day)])</f>
        <v>3253.1469591666664</v>
      </c>
      <c r="H87" s="173">
        <f>SUBTOTAL(101,Table3D.2_DailyTTS_PA[Average Delay (Hrs/Veh/Day)])</f>
        <v>1.1676416666666668E-2</v>
      </c>
    </row>
    <row r="89" spans="2:8">
      <c r="B89" s="71" t="s">
        <v>222</v>
      </c>
    </row>
    <row r="91" spans="2:8" ht="25.5">
      <c r="B91" s="133" t="s">
        <v>21</v>
      </c>
      <c r="C91" s="122" t="s">
        <v>223</v>
      </c>
      <c r="D91" s="122" t="s">
        <v>224</v>
      </c>
      <c r="E91" s="122" t="s">
        <v>225</v>
      </c>
      <c r="F91" s="122" t="s">
        <v>226</v>
      </c>
      <c r="G91" s="133" t="s">
        <v>227</v>
      </c>
      <c r="H91" s="133" t="s">
        <v>228</v>
      </c>
    </row>
    <row r="92" spans="2:8">
      <c r="B92" s="148">
        <f>First_Year+'Appendix B. Project Information'!B20</f>
        <v>2023</v>
      </c>
      <c r="C92" s="152" t="str">
        <f>IF(Table3D.3_TTSMoneySum[[#This Row],[Year]]&gt;Closeout,((G10-G51)*0.94),"")</f>
        <v/>
      </c>
      <c r="D92" s="152" t="str">
        <f>IF(Table3D.3_TTSMoneySum[[#This Row],[Year]]&gt;Closeout,((G10-G51)*0.06),"")</f>
        <v/>
      </c>
      <c r="E92" s="124" t="str">
        <f>IFERROR((Table3D.3_TTSMoneySum[[#This Row],[Car Delay Savings (Hrs/Day)]]*All_Purpose_Travel*Passenger_Vehicles_Occupancy),"")</f>
        <v/>
      </c>
      <c r="F92" s="124" t="str">
        <f>IFERROR((Table3D.3_TTSMoneySum[[#This Row],[Truck Delay Savings (Hrs/Day)]]*Truck_Travel),"")</f>
        <v/>
      </c>
      <c r="G92" s="216">
        <f>SUM(Table3D.3_TTSMoneySum[[#This Row],[Car Savings Benefits ($/Day)]:[Truck Savings Benefits ($/Day)]])*270</f>
        <v>0</v>
      </c>
      <c r="H92" s="216">
        <f>SUM(Table3D.3_TTSMoneySum[[#This Row],[Car Savings Benefits ($/Day)]:[Truck Savings Benefits ($/Day)]])*365</f>
        <v>0</v>
      </c>
    </row>
    <row r="93" spans="2:8">
      <c r="B93" s="148">
        <f t="shared" ref="B93:B95" si="0">B92+1</f>
        <v>2024</v>
      </c>
      <c r="C93" s="152" t="str">
        <f>IF(Table3D.3_TTSMoneySum[[#This Row],[Year]]&gt;Closeout,((G11-G52)*0.94),"")</f>
        <v/>
      </c>
      <c r="D93" s="152" t="str">
        <f>IF(Table3D.3_TTSMoneySum[[#This Row],[Year]]&gt;Closeout,((G11-G52)*0.06),"")</f>
        <v/>
      </c>
      <c r="E93" s="124" t="str">
        <f>IFERROR((Table3D.3_TTSMoneySum[[#This Row],[Car Delay Savings (Hrs/Day)]]*All_Purpose_Travel*Passenger_Vehicles_Occupancy),"")</f>
        <v/>
      </c>
      <c r="F93" s="124" t="str">
        <f>IFERROR((Table3D.3_TTSMoneySum[[#This Row],[Truck Delay Savings (Hrs/Day)]]*Truck_Travel),"")</f>
        <v/>
      </c>
      <c r="G93" s="216">
        <f>SUM(Table3D.3_TTSMoneySum[[#This Row],[Car Savings Benefits ($/Day)]:[Truck Savings Benefits ($/Day)]])*270</f>
        <v>0</v>
      </c>
      <c r="H93" s="216">
        <f>SUM(Table3D.3_TTSMoneySum[[#This Row],[Car Savings Benefits ($/Day)]:[Truck Savings Benefits ($/Day)]])*365</f>
        <v>0</v>
      </c>
    </row>
    <row r="94" spans="2:8">
      <c r="B94" s="148">
        <f t="shared" si="0"/>
        <v>2025</v>
      </c>
      <c r="C94" s="152" t="str">
        <f>IF(Table3D.3_TTSMoneySum[[#This Row],[Year]]&gt;Closeout,((G12-G53)*0.94),"")</f>
        <v/>
      </c>
      <c r="D94" s="152" t="str">
        <f>IF(Table3D.3_TTSMoneySum[[#This Row],[Year]]&gt;Closeout,((G12-G53)*0.06),"")</f>
        <v/>
      </c>
      <c r="E94" s="124" t="str">
        <f>IFERROR((Table3D.3_TTSMoneySum[[#This Row],[Car Delay Savings (Hrs/Day)]]*All_Purpose_Travel*Passenger_Vehicles_Occupancy),"")</f>
        <v/>
      </c>
      <c r="F94" s="124" t="str">
        <f>IFERROR((Table3D.3_TTSMoneySum[[#This Row],[Truck Delay Savings (Hrs/Day)]]*Truck_Travel),"")</f>
        <v/>
      </c>
      <c r="G94" s="216">
        <f>SUM(Table3D.3_TTSMoneySum[[#This Row],[Car Savings Benefits ($/Day)]:[Truck Savings Benefits ($/Day)]])*270</f>
        <v>0</v>
      </c>
      <c r="H94" s="216">
        <f>SUM(Table3D.3_TTSMoneySum[[#This Row],[Car Savings Benefits ($/Day)]:[Truck Savings Benefits ($/Day)]])*365</f>
        <v>0</v>
      </c>
    </row>
    <row r="95" spans="2:8">
      <c r="B95" s="148">
        <f t="shared" si="0"/>
        <v>2026</v>
      </c>
      <c r="C95" s="152" t="str">
        <f>IF(Table3D.3_TTSMoneySum[[#This Row],[Year]]&gt;Closeout,((G13-G54)*0.94),"")</f>
        <v/>
      </c>
      <c r="D95" s="152" t="str">
        <f>IF(Table3D.3_TTSMoneySum[[#This Row],[Year]]&gt;Closeout,((G13-G54)*0.06),"")</f>
        <v/>
      </c>
      <c r="E95" s="124" t="str">
        <f>IFERROR((Table3D.3_TTSMoneySum[[#This Row],[Car Delay Savings (Hrs/Day)]]*All_Purpose_Travel*Passenger_Vehicles_Occupancy),"")</f>
        <v/>
      </c>
      <c r="F95" s="124" t="str">
        <f>IFERROR((Table3D.3_TTSMoneySum[[#This Row],[Truck Delay Savings (Hrs/Day)]]*Truck_Travel),"")</f>
        <v/>
      </c>
      <c r="G95" s="216">
        <f>SUM(Table3D.3_TTSMoneySum[[#This Row],[Car Savings Benefits ($/Day)]:[Truck Savings Benefits ($/Day)]])*270</f>
        <v>0</v>
      </c>
      <c r="H95" s="216">
        <f>SUM(Table3D.3_TTSMoneySum[[#This Row],[Car Savings Benefits ($/Day)]:[Truck Savings Benefits ($/Day)]])*365</f>
        <v>0</v>
      </c>
    </row>
    <row r="96" spans="2:8">
      <c r="B96" s="148">
        <f>Closeout</f>
        <v>2027</v>
      </c>
      <c r="C96" s="152" t="str">
        <f>IF(Table3D.3_TTSMoneySum[[#This Row],[Year]]&gt;Closeout,((G15-G56)*0.94),"")</f>
        <v/>
      </c>
      <c r="D96" s="152" t="str">
        <f>IF(Table3D.3_TTSMoneySum[[#This Row],[Year]]&gt;Closeout,((G15-G56)*0.06),"")</f>
        <v/>
      </c>
      <c r="E96" s="175" t="str">
        <f>IFERROR((Table3D.3_TTSMoneySum[[#This Row],[Car Delay Savings (Hrs/Day)]]*All_Purpose_Travel*Passenger_Vehicles_Occupancy),"")</f>
        <v/>
      </c>
      <c r="F96" s="175" t="str">
        <f>IFERROR((Table3D.3_TTSMoneySum[[#This Row],[Truck Delay Savings (Hrs/Day)]]*Truck_Travel),"")</f>
        <v/>
      </c>
      <c r="G96" s="175">
        <f>SUM(Table3D.3_TTSMoneySum[[#This Row],[Car Savings Benefits ($/Day)]:[Truck Savings Benefits ($/Day)]])*270</f>
        <v>0</v>
      </c>
      <c r="H96" s="175">
        <f>SUM(Table3D.3_TTSMoneySum[[#This Row],[Car Savings Benefits ($/Day)]:[Truck Savings Benefits ($/Day)]])*365</f>
        <v>0</v>
      </c>
    </row>
    <row r="97" spans="2:8">
      <c r="B97" s="148">
        <f>B96+1</f>
        <v>2028</v>
      </c>
      <c r="C97" s="152">
        <f>IF(Table3D.3_TTSMoneySum[[#This Row],[Year]]&gt;Closeout,((G16-G57)*0.94),"")</f>
        <v>437.28365685185173</v>
      </c>
      <c r="D97" s="152">
        <f>IF(Table3D.3_TTSMoneySum[[#This Row],[Year]]&gt;Closeout,((G16-G57)*0.06),"")</f>
        <v>27.911722777777772</v>
      </c>
      <c r="E97" s="175">
        <f>IFERROR((Table3D.3_TTSMoneySum[[#This Row],[Car Delay Savings (Hrs/Day)]]*All_Purpose_Travel*Passenger_Vehicles_Occupancy),"")</f>
        <v>13728.957690520738</v>
      </c>
      <c r="F97" s="175">
        <f>IFERROR((Table3D.3_TTSMoneySum[[#This Row],[Truck Delay Savings (Hrs/Day)]]*Truck_Travel),"")</f>
        <v>904.33981799999981</v>
      </c>
      <c r="G97" s="175">
        <f>SUM(Table3D.3_TTSMoneySum[[#This Row],[Car Savings Benefits ($/Day)]:[Truck Savings Benefits ($/Day)]])*270</f>
        <v>3950990.3273005993</v>
      </c>
      <c r="H97" s="175">
        <f>SUM(Table3D.3_TTSMoneySum[[#This Row],[Car Savings Benefits ($/Day)]:[Truck Savings Benefits ($/Day)]])*365</f>
        <v>5341153.5906100692</v>
      </c>
    </row>
    <row r="98" spans="2:8">
      <c r="B98" s="148">
        <f t="shared" ref="B98:B127" si="1">B97+1</f>
        <v>2029</v>
      </c>
      <c r="C98" s="152">
        <f>IF(Table3D.3_TTSMoneySum[[#This Row],[Year]]&gt;Closeout,((G17-G58)*0.94),"")</f>
        <v>597.89277708333293</v>
      </c>
      <c r="D98" s="152">
        <f>IF(Table3D.3_TTSMoneySum[[#This Row],[Year]]&gt;Closeout,((G17-G58)*0.06),"")</f>
        <v>38.163368749999975</v>
      </c>
      <c r="E98" s="175">
        <f>IFERROR((Table3D.3_TTSMoneySum[[#This Row],[Car Delay Savings (Hrs/Day)]]*All_Purpose_Travel*Passenger_Vehicles_Occupancy),"")</f>
        <v>18771.44162930832</v>
      </c>
      <c r="F98" s="175">
        <f>IFERROR((Table3D.3_TTSMoneySum[[#This Row],[Truck Delay Savings (Hrs/Day)]]*Truck_Travel),"")</f>
        <v>1236.4931474999992</v>
      </c>
      <c r="G98" s="175">
        <f>SUM(Table3D.3_TTSMoneySum[[#This Row],[Car Savings Benefits ($/Day)]:[Truck Savings Benefits ($/Day)]])*270</f>
        <v>5402142.3897382459</v>
      </c>
      <c r="H98" s="175">
        <f>SUM(Table3D.3_TTSMoneySum[[#This Row],[Car Savings Benefits ($/Day)]:[Truck Savings Benefits ($/Day)]])*365</f>
        <v>7302896.1935350355</v>
      </c>
    </row>
    <row r="99" spans="2:8">
      <c r="B99" s="148">
        <f t="shared" si="1"/>
        <v>2030</v>
      </c>
      <c r="C99" s="152">
        <f>IF(Table3D.3_TTSMoneySum[[#This Row],[Year]]&gt;Closeout,((G18-G59)*0.94),"")</f>
        <v>758.50189731481453</v>
      </c>
      <c r="D99" s="152">
        <f>IF(Table3D.3_TTSMoneySum[[#This Row],[Year]]&gt;Closeout,((G18-G59)*0.06),"")</f>
        <v>48.41501472222221</v>
      </c>
      <c r="E99" s="175">
        <f>IFERROR((Table3D.3_TTSMoneySum[[#This Row],[Car Delay Savings (Hrs/Day)]]*All_Purpose_Travel*Passenger_Vehicles_Occupancy),"")</f>
        <v>23813.925568095918</v>
      </c>
      <c r="F99" s="175">
        <f>IFERROR((Table3D.3_TTSMoneySum[[#This Row],[Truck Delay Savings (Hrs/Day)]]*Truck_Travel),"")</f>
        <v>1568.6464769999995</v>
      </c>
      <c r="G99" s="175">
        <f>SUM(Table3D.3_TTSMoneySum[[#This Row],[Car Savings Benefits ($/Day)]:[Truck Savings Benefits ($/Day)]])*270</f>
        <v>6853294.4521758975</v>
      </c>
      <c r="H99" s="175">
        <f>SUM(Table3D.3_TTSMoneySum[[#This Row],[Car Savings Benefits ($/Day)]:[Truck Savings Benefits ($/Day)]])*365</f>
        <v>9264638.7964600101</v>
      </c>
    </row>
    <row r="100" spans="2:8">
      <c r="B100" s="148">
        <f t="shared" si="1"/>
        <v>2031</v>
      </c>
      <c r="C100" s="152">
        <f>IF(Table3D.3_TTSMoneySum[[#This Row],[Year]]&gt;Closeout,((G19-G60)*0.94),"")</f>
        <v>919.11101754629635</v>
      </c>
      <c r="D100" s="152">
        <f>IF(Table3D.3_TTSMoneySum[[#This Row],[Year]]&gt;Closeout,((G19-G60)*0.06),"")</f>
        <v>58.666660694444452</v>
      </c>
      <c r="E100" s="175">
        <f>IFERROR((Table3D.3_TTSMoneySum[[#This Row],[Car Delay Savings (Hrs/Day)]]*All_Purpose_Travel*Passenger_Vehicles_Occupancy),"")</f>
        <v>28856.409506883519</v>
      </c>
      <c r="F100" s="175">
        <f>IFERROR((Table3D.3_TTSMoneySum[[#This Row],[Truck Delay Savings (Hrs/Day)]]*Truck_Travel),"")</f>
        <v>1900.7998065000002</v>
      </c>
      <c r="G100" s="175">
        <f>SUM(Table3D.3_TTSMoneySum[[#This Row],[Car Savings Benefits ($/Day)]:[Truck Savings Benefits ($/Day)]])*270</f>
        <v>8304446.5146135502</v>
      </c>
      <c r="H100" s="175">
        <f>SUM(Table3D.3_TTSMoneySum[[#This Row],[Car Savings Benefits ($/Day)]:[Truck Savings Benefits ($/Day)]])*365</f>
        <v>11226381.399384985</v>
      </c>
    </row>
    <row r="101" spans="2:8">
      <c r="B101" s="148">
        <f t="shared" si="1"/>
        <v>2032</v>
      </c>
      <c r="C101" s="152">
        <f>IF(Table3D.3_TTSMoneySum[[#This Row],[Year]]&gt;Closeout,((G20-G61)*0.94),"")</f>
        <v>1079.7201377777772</v>
      </c>
      <c r="D101" s="152">
        <f>IF(Table3D.3_TTSMoneySum[[#This Row],[Year]]&gt;Closeout,((G20-G61)*0.06),"")</f>
        <v>68.918306666666624</v>
      </c>
      <c r="E101" s="175">
        <f>IFERROR((Table3D.3_TTSMoneySum[[#This Row],[Car Delay Savings (Hrs/Day)]]*All_Purpose_Travel*Passenger_Vehicles_Occupancy),"")</f>
        <v>33898.893445671092</v>
      </c>
      <c r="F101" s="175">
        <f>IFERROR((Table3D.3_TTSMoneySum[[#This Row],[Truck Delay Savings (Hrs/Day)]]*Truck_Travel),"")</f>
        <v>2232.9531359999987</v>
      </c>
      <c r="G101" s="175">
        <f>SUM(Table3D.3_TTSMoneySum[[#This Row],[Car Savings Benefits ($/Day)]:[Truck Savings Benefits ($/Day)]])*270</f>
        <v>9755598.5770511944</v>
      </c>
      <c r="H101" s="175">
        <f>SUM(Table3D.3_TTSMoneySum[[#This Row],[Car Savings Benefits ($/Day)]:[Truck Savings Benefits ($/Day)]])*365</f>
        <v>13188124.002309948</v>
      </c>
    </row>
    <row r="102" spans="2:8">
      <c r="B102" s="148">
        <f t="shared" si="1"/>
        <v>2033</v>
      </c>
      <c r="C102" s="152">
        <f>IF(Table3D.3_TTSMoneySum[[#This Row],[Year]]&gt;Closeout,((G21-G62)*0.94),"")</f>
        <v>1240.3292580092591</v>
      </c>
      <c r="D102" s="152">
        <f>IF(Table3D.3_TTSMoneySum[[#This Row],[Year]]&gt;Closeout,((G21-G62)*0.06),"")</f>
        <v>79.169952638888887</v>
      </c>
      <c r="E102" s="175">
        <f>IFERROR((Table3D.3_TTSMoneySum[[#This Row],[Car Delay Savings (Hrs/Day)]]*All_Purpose_Travel*Passenger_Vehicles_Occupancy),"")</f>
        <v>38941.377384458698</v>
      </c>
      <c r="F102" s="175">
        <f>IFERROR((Table3D.3_TTSMoneySum[[#This Row],[Truck Delay Savings (Hrs/Day)]]*Truck_Travel),"")</f>
        <v>2565.1064655</v>
      </c>
      <c r="G102" s="175">
        <f>SUM(Table3D.3_TTSMoneySum[[#This Row],[Car Savings Benefits ($/Day)]:[Truck Savings Benefits ($/Day)]])*270</f>
        <v>11206750.639488848</v>
      </c>
      <c r="H102" s="175">
        <f>SUM(Table3D.3_TTSMoneySum[[#This Row],[Car Savings Benefits ($/Day)]:[Truck Savings Benefits ($/Day)]])*365</f>
        <v>15149866.605234925</v>
      </c>
    </row>
    <row r="103" spans="2:8">
      <c r="B103" s="148">
        <f t="shared" si="1"/>
        <v>2034</v>
      </c>
      <c r="C103" s="152">
        <f>IF(Table3D.3_TTSMoneySum[[#This Row],[Year]]&gt;Closeout,((G22-G63)*0.94),"")</f>
        <v>1400.9383782407399</v>
      </c>
      <c r="D103" s="152">
        <f>IF(Table3D.3_TTSMoneySum[[#This Row],[Year]]&gt;Closeout,((G22-G63)*0.06),"")</f>
        <v>89.421598611111065</v>
      </c>
      <c r="E103" s="175">
        <f>IFERROR((Table3D.3_TTSMoneySum[[#This Row],[Car Delay Savings (Hrs/Day)]]*All_Purpose_Travel*Passenger_Vehicles_Occupancy),"")</f>
        <v>43983.861323246267</v>
      </c>
      <c r="F103" s="175">
        <f>IFERROR((Table3D.3_TTSMoneySum[[#This Row],[Truck Delay Savings (Hrs/Day)]]*Truck_Travel),"")</f>
        <v>2897.2597949999986</v>
      </c>
      <c r="G103" s="175">
        <f>SUM(Table3D.3_TTSMoneySum[[#This Row],[Car Savings Benefits ($/Day)]:[Truck Savings Benefits ($/Day)]])*270</f>
        <v>12657902.701926492</v>
      </c>
      <c r="H103" s="175">
        <f>SUM(Table3D.3_TTSMoneySum[[#This Row],[Car Savings Benefits ($/Day)]:[Truck Savings Benefits ($/Day)]])*365</f>
        <v>17111609.208159886</v>
      </c>
    </row>
    <row r="104" spans="2:8">
      <c r="B104" s="148">
        <f t="shared" si="1"/>
        <v>2035</v>
      </c>
      <c r="C104" s="152">
        <f>IF(Table3D.3_TTSMoneySum[[#This Row],[Year]]&gt;Closeout,((G23-G64)*0.94),"")</f>
        <v>1561.5474984722221</v>
      </c>
      <c r="D104" s="152">
        <f>IF(Table3D.3_TTSMoneySum[[#This Row],[Year]]&gt;Closeout,((G23-G64)*0.06),"")</f>
        <v>99.673244583333329</v>
      </c>
      <c r="E104" s="175">
        <f>IFERROR((Table3D.3_TTSMoneySum[[#This Row],[Car Delay Savings (Hrs/Day)]]*All_Purpose_Travel*Passenger_Vehicles_Occupancy),"")</f>
        <v>49026.345262033887</v>
      </c>
      <c r="F104" s="175">
        <f>IFERROR((Table3D.3_TTSMoneySum[[#This Row],[Truck Delay Savings (Hrs/Day)]]*Truck_Travel),"")</f>
        <v>3229.4131244999999</v>
      </c>
      <c r="G104" s="175">
        <f>SUM(Table3D.3_TTSMoneySum[[#This Row],[Car Savings Benefits ($/Day)]:[Truck Savings Benefits ($/Day)]])*270</f>
        <v>14109054.764364149</v>
      </c>
      <c r="H104" s="175">
        <f>SUM(Table3D.3_TTSMoneySum[[#This Row],[Car Savings Benefits ($/Day)]:[Truck Savings Benefits ($/Day)]])*365</f>
        <v>19073351.81108487</v>
      </c>
    </row>
    <row r="105" spans="2:8">
      <c r="B105" s="148">
        <f t="shared" si="1"/>
        <v>2036</v>
      </c>
      <c r="C105" s="152">
        <f>IF(Table3D.3_TTSMoneySum[[#This Row],[Year]]&gt;Closeout,((G24-G65)*0.94),"")</f>
        <v>1722.1566187037029</v>
      </c>
      <c r="D105" s="152">
        <f>IF(Table3D.3_TTSMoneySum[[#This Row],[Year]]&gt;Closeout,((G24-G65)*0.06),"")</f>
        <v>109.92489055555549</v>
      </c>
      <c r="E105" s="175">
        <f>IFERROR((Table3D.3_TTSMoneySum[[#This Row],[Car Delay Savings (Hrs/Day)]]*All_Purpose_Travel*Passenger_Vehicles_Occupancy),"")</f>
        <v>54068.829200821456</v>
      </c>
      <c r="F105" s="175">
        <f>IFERROR((Table3D.3_TTSMoneySum[[#This Row],[Truck Delay Savings (Hrs/Day)]]*Truck_Travel),"")</f>
        <v>3561.566453999998</v>
      </c>
      <c r="G105" s="175">
        <f>SUM(Table3D.3_TTSMoneySum[[#This Row],[Car Savings Benefits ($/Day)]:[Truck Savings Benefits ($/Day)]])*270</f>
        <v>15560206.826801794</v>
      </c>
      <c r="H105" s="175">
        <f>SUM(Table3D.3_TTSMoneySum[[#This Row],[Car Savings Benefits ($/Day)]:[Truck Savings Benefits ($/Day)]])*365</f>
        <v>21035094.414009832</v>
      </c>
    </row>
    <row r="106" spans="2:8">
      <c r="B106" s="148">
        <f t="shared" si="1"/>
        <v>2037</v>
      </c>
      <c r="C106" s="152">
        <f>IF(Table3D.3_TTSMoneySum[[#This Row],[Year]]&gt;Closeout,((G25-G66)*0.94),"")</f>
        <v>1882.7657389351843</v>
      </c>
      <c r="D106" s="152">
        <f>IF(Table3D.3_TTSMoneySum[[#This Row],[Year]]&gt;Closeout,((G25-G66)*0.06),"")</f>
        <v>120.17653652777773</v>
      </c>
      <c r="E106" s="175">
        <f>IFERROR((Table3D.3_TTSMoneySum[[#This Row],[Car Delay Savings (Hrs/Day)]]*All_Purpose_Travel*Passenger_Vehicles_Occupancy),"")</f>
        <v>59111.313139609047</v>
      </c>
      <c r="F106" s="175">
        <f>IFERROR((Table3D.3_TTSMoneySum[[#This Row],[Truck Delay Savings (Hrs/Day)]]*Truck_Travel),"")</f>
        <v>3893.7197834999984</v>
      </c>
      <c r="G106" s="175">
        <f>SUM(Table3D.3_TTSMoneySum[[#This Row],[Car Savings Benefits ($/Day)]:[Truck Savings Benefits ($/Day)]])*270</f>
        <v>17011358.889239442</v>
      </c>
      <c r="H106" s="175">
        <f>SUM(Table3D.3_TTSMoneySum[[#This Row],[Car Savings Benefits ($/Day)]:[Truck Savings Benefits ($/Day)]])*365</f>
        <v>22996837.016934801</v>
      </c>
    </row>
    <row r="107" spans="2:8">
      <c r="B107" s="148">
        <f t="shared" si="1"/>
        <v>2038</v>
      </c>
      <c r="C107" s="152">
        <f>IF(Table3D.3_TTSMoneySum[[#This Row],[Year]]&gt;Closeout,((G26-G67)*0.94),"")</f>
        <v>2043.3748591666651</v>
      </c>
      <c r="D107" s="152">
        <f>IF(Table3D.3_TTSMoneySum[[#This Row],[Year]]&gt;Closeout,((G26-G67)*0.06),"")</f>
        <v>130.42818249999991</v>
      </c>
      <c r="E107" s="175">
        <f>IFERROR((Table3D.3_TTSMoneySum[[#This Row],[Car Delay Savings (Hrs/Day)]]*All_Purpose_Travel*Passenger_Vehicles_Occupancy),"")</f>
        <v>64153.797078396623</v>
      </c>
      <c r="F107" s="175">
        <f>IFERROR((Table3D.3_TTSMoneySum[[#This Row],[Truck Delay Savings (Hrs/Day)]]*Truck_Travel),"")</f>
        <v>4225.8731129999969</v>
      </c>
      <c r="G107" s="175">
        <f>SUM(Table3D.3_TTSMoneySum[[#This Row],[Car Savings Benefits ($/Day)]:[Truck Savings Benefits ($/Day)]])*270</f>
        <v>18462510.951677088</v>
      </c>
      <c r="H107" s="175">
        <f>SUM(Table3D.3_TTSMoneySum[[#This Row],[Car Savings Benefits ($/Day)]:[Truck Savings Benefits ($/Day)]])*365</f>
        <v>24958579.619859766</v>
      </c>
    </row>
    <row r="108" spans="2:8">
      <c r="B108" s="148">
        <f t="shared" si="1"/>
        <v>2039</v>
      </c>
      <c r="C108" s="152">
        <f>IF(Table3D.3_TTSMoneySum[[#This Row],[Year]]&gt;Closeout,((G27-G68)*0.94),"")</f>
        <v>2203.9839793981469</v>
      </c>
      <c r="D108" s="152">
        <f>IF(Table3D.3_TTSMoneySum[[#This Row],[Year]]&gt;Closeout,((G27-G68)*0.06),"")</f>
        <v>140.67982847222214</v>
      </c>
      <c r="E108" s="175">
        <f>IFERROR((Table3D.3_TTSMoneySum[[#This Row],[Car Delay Savings (Hrs/Day)]]*All_Purpose_Travel*Passenger_Vehicles_Occupancy),"")</f>
        <v>69196.281017184214</v>
      </c>
      <c r="F108" s="175">
        <f>IFERROR((Table3D.3_TTSMoneySum[[#This Row],[Truck Delay Savings (Hrs/Day)]]*Truck_Travel),"")</f>
        <v>4558.0264424999968</v>
      </c>
      <c r="G108" s="175">
        <f>SUM(Table3D.3_TTSMoneySum[[#This Row],[Car Savings Benefits ($/Day)]:[Truck Savings Benefits ($/Day)]])*270</f>
        <v>19913663.014114734</v>
      </c>
      <c r="H108" s="175">
        <f>SUM(Table3D.3_TTSMoneySum[[#This Row],[Car Savings Benefits ($/Day)]:[Truck Savings Benefits ($/Day)]])*365</f>
        <v>26920322.222784735</v>
      </c>
    </row>
    <row r="109" spans="2:8">
      <c r="B109" s="148">
        <f t="shared" si="1"/>
        <v>2040</v>
      </c>
      <c r="C109" s="152">
        <f>IF(Table3D.3_TTSMoneySum[[#This Row],[Year]]&gt;Closeout,((G28-G69)*0.94),"")</f>
        <v>2364.5930996296293</v>
      </c>
      <c r="D109" s="152">
        <f>IF(Table3D.3_TTSMoneySum[[#This Row],[Year]]&gt;Closeout,((G28-G69)*0.06),"")</f>
        <v>150.93147444444443</v>
      </c>
      <c r="E109" s="175">
        <f>IFERROR((Table3D.3_TTSMoneySum[[#This Row],[Car Delay Savings (Hrs/Day)]]*All_Purpose_Travel*Passenger_Vehicles_Occupancy),"")</f>
        <v>74238.764955971841</v>
      </c>
      <c r="F109" s="175">
        <f>IFERROR((Table3D.3_TTSMoneySum[[#This Row],[Truck Delay Savings (Hrs/Day)]]*Truck_Travel),"")</f>
        <v>4890.1797719999995</v>
      </c>
      <c r="G109" s="175">
        <f>SUM(Table3D.3_TTSMoneySum[[#This Row],[Car Savings Benefits ($/Day)]:[Truck Savings Benefits ($/Day)]])*270</f>
        <v>21364815.076552399</v>
      </c>
      <c r="H109" s="175">
        <f>SUM(Table3D.3_TTSMoneySum[[#This Row],[Car Savings Benefits ($/Day)]:[Truck Savings Benefits ($/Day)]])*365</f>
        <v>28882064.825709723</v>
      </c>
    </row>
    <row r="110" spans="2:8">
      <c r="B110" s="148">
        <f t="shared" si="1"/>
        <v>2041</v>
      </c>
      <c r="C110" s="152">
        <f>IF(Table3D.3_TTSMoneySum[[#This Row],[Year]]&gt;Closeout,((G29-G70)*0.94),"")</f>
        <v>2525.2022198611107</v>
      </c>
      <c r="D110" s="152">
        <f>IF(Table3D.3_TTSMoneySum[[#This Row],[Year]]&gt;Closeout,((G29-G70)*0.06),"")</f>
        <v>161.18312041666667</v>
      </c>
      <c r="E110" s="175">
        <f>IFERROR((Table3D.3_TTSMoneySum[[#This Row],[Car Delay Savings (Hrs/Day)]]*All_Purpose_Travel*Passenger_Vehicles_Occupancy),"")</f>
        <v>79281.248894759439</v>
      </c>
      <c r="F110" s="175">
        <f>IFERROR((Table3D.3_TTSMoneySum[[#This Row],[Truck Delay Savings (Hrs/Day)]]*Truck_Travel),"")</f>
        <v>5222.3331014999994</v>
      </c>
      <c r="G110" s="175">
        <f>SUM(Table3D.3_TTSMoneySum[[#This Row],[Car Savings Benefits ($/Day)]:[Truck Savings Benefits ($/Day)]])*270</f>
        <v>22815967.138990048</v>
      </c>
      <c r="H110" s="175">
        <f>SUM(Table3D.3_TTSMoneySum[[#This Row],[Car Savings Benefits ($/Day)]:[Truck Savings Benefits ($/Day)]])*365</f>
        <v>30843807.428634696</v>
      </c>
    </row>
    <row r="111" spans="2:8">
      <c r="B111" s="148">
        <f t="shared" si="1"/>
        <v>2042</v>
      </c>
      <c r="C111" s="152">
        <f>IF(Table3D.3_TTSMoneySum[[#This Row],[Year]]&gt;Closeout,((G30-G71)*0.94),"")</f>
        <v>2685.8113400925918</v>
      </c>
      <c r="D111" s="152">
        <f>IF(Table3D.3_TTSMoneySum[[#This Row],[Year]]&gt;Closeout,((G30-G71)*0.06),"")</f>
        <v>171.43476638888882</v>
      </c>
      <c r="E111" s="175">
        <f>IFERROR((Table3D.3_TTSMoneySum[[#This Row],[Car Delay Savings (Hrs/Day)]]*All_Purpose_Travel*Passenger_Vehicles_Occupancy),"")</f>
        <v>84323.732833547008</v>
      </c>
      <c r="F111" s="175">
        <f>IFERROR((Table3D.3_TTSMoneySum[[#This Row],[Truck Delay Savings (Hrs/Day)]]*Truck_Travel),"")</f>
        <v>5554.4864309999975</v>
      </c>
      <c r="G111" s="175">
        <f>SUM(Table3D.3_TTSMoneySum[[#This Row],[Car Savings Benefits ($/Day)]:[Truck Savings Benefits ($/Day)]])*270</f>
        <v>24267119.201427691</v>
      </c>
      <c r="H111" s="175">
        <f>SUM(Table3D.3_TTSMoneySum[[#This Row],[Car Savings Benefits ($/Day)]:[Truck Savings Benefits ($/Day)]])*365</f>
        <v>32805550.031559657</v>
      </c>
    </row>
    <row r="112" spans="2:8">
      <c r="B112" s="148">
        <f t="shared" si="1"/>
        <v>2043</v>
      </c>
      <c r="C112" s="152">
        <f>IF(Table3D.3_TTSMoneySum[[#This Row],[Year]]&gt;Closeout,((G31-G72)*0.94),"")</f>
        <v>2846.4204603240732</v>
      </c>
      <c r="D112" s="152">
        <f>IF(Table3D.3_TTSMoneySum[[#This Row],[Year]]&gt;Closeout,((G31-G72)*0.06),"")</f>
        <v>181.68641236111105</v>
      </c>
      <c r="E112" s="175">
        <f>IFERROR((Table3D.3_TTSMoneySum[[#This Row],[Car Delay Savings (Hrs/Day)]]*All_Purpose_Travel*Passenger_Vehicles_Occupancy),"")</f>
        <v>89366.216772334607</v>
      </c>
      <c r="F112" s="175">
        <f>IFERROR((Table3D.3_TTSMoneySum[[#This Row],[Truck Delay Savings (Hrs/Day)]]*Truck_Travel),"")</f>
        <v>5886.6397604999975</v>
      </c>
      <c r="G112" s="175">
        <f>SUM(Table3D.3_TTSMoneySum[[#This Row],[Car Savings Benefits ($/Day)]:[Truck Savings Benefits ($/Day)]])*270</f>
        <v>25718271.263865341</v>
      </c>
      <c r="H112" s="175">
        <f>SUM(Table3D.3_TTSMoneySum[[#This Row],[Car Savings Benefits ($/Day)]:[Truck Savings Benefits ($/Day)]])*365</f>
        <v>34767292.634484626</v>
      </c>
    </row>
    <row r="113" spans="2:8">
      <c r="B113" s="148">
        <f t="shared" si="1"/>
        <v>2044</v>
      </c>
      <c r="C113" s="152">
        <f>IF(Table3D.3_TTSMoneySum[[#This Row],[Year]]&gt;Closeout,((G32-G73)*0.94),"")</f>
        <v>3007.0295805555538</v>
      </c>
      <c r="D113" s="152">
        <f>IF(Table3D.3_TTSMoneySum[[#This Row],[Year]]&gt;Closeout,((G32-G73)*0.06),"")</f>
        <v>191.93805833333323</v>
      </c>
      <c r="E113" s="175">
        <f>IFERROR((Table3D.3_TTSMoneySum[[#This Row],[Car Delay Savings (Hrs/Day)]]*All_Purpose_Travel*Passenger_Vehicles_Occupancy),"")</f>
        <v>94408.700711122161</v>
      </c>
      <c r="F113" s="175">
        <f>IFERROR((Table3D.3_TTSMoneySum[[#This Row],[Truck Delay Savings (Hrs/Day)]]*Truck_Travel),"")</f>
        <v>6218.7930899999965</v>
      </c>
      <c r="G113" s="175">
        <f>SUM(Table3D.3_TTSMoneySum[[#This Row],[Car Savings Benefits ($/Day)]:[Truck Savings Benefits ($/Day)]])*270</f>
        <v>27169423.326302983</v>
      </c>
      <c r="H113" s="175">
        <f>SUM(Table3D.3_TTSMoneySum[[#This Row],[Car Savings Benefits ($/Day)]:[Truck Savings Benefits ($/Day)]])*365</f>
        <v>36729035.237409584</v>
      </c>
    </row>
    <row r="114" spans="2:8">
      <c r="B114" s="148">
        <f t="shared" si="1"/>
        <v>2045</v>
      </c>
      <c r="C114" s="152">
        <f>IF(Table3D.3_TTSMoneySum[[#This Row],[Year]]&gt;Closeout,((G33-G74)*0.94),"")</f>
        <v>3167.6387007870358</v>
      </c>
      <c r="D114" s="152">
        <f>IF(Table3D.3_TTSMoneySum[[#This Row],[Year]]&gt;Closeout,((G33-G74)*0.06),"")</f>
        <v>202.18970430555547</v>
      </c>
      <c r="E114" s="175">
        <f>IFERROR((Table3D.3_TTSMoneySum[[#This Row],[Car Delay Savings (Hrs/Day)]]*All_Purpose_Travel*Passenger_Vehicles_Occupancy),"")</f>
        <v>99451.184649909774</v>
      </c>
      <c r="F114" s="175">
        <f>IFERROR((Table3D.3_TTSMoneySum[[#This Row],[Truck Delay Savings (Hrs/Day)]]*Truck_Travel),"")</f>
        <v>6550.9464194999964</v>
      </c>
      <c r="G114" s="175">
        <f>SUM(Table3D.3_TTSMoneySum[[#This Row],[Car Savings Benefits ($/Day)]:[Truck Savings Benefits ($/Day)]])*270</f>
        <v>28620575.38874064</v>
      </c>
      <c r="H114" s="175">
        <f>SUM(Table3D.3_TTSMoneySum[[#This Row],[Car Savings Benefits ($/Day)]:[Truck Savings Benefits ($/Day)]])*365</f>
        <v>38690777.840334572</v>
      </c>
    </row>
    <row r="115" spans="2:8">
      <c r="B115" s="148">
        <f t="shared" si="1"/>
        <v>2046</v>
      </c>
      <c r="C115" s="152">
        <f>IF(Table3D.3_TTSMoneySum[[#This Row],[Year]]&gt;Closeout,((G34-G75)*0.94),"")</f>
        <v>3328.2478210185163</v>
      </c>
      <c r="D115" s="152">
        <f>IF(Table3D.3_TTSMoneySum[[#This Row],[Year]]&gt;Closeout,((G34-G75)*0.06),"")</f>
        <v>212.44135027777764</v>
      </c>
      <c r="E115" s="175">
        <f>IFERROR((Table3D.3_TTSMoneySum[[#This Row],[Car Delay Savings (Hrs/Day)]]*All_Purpose_Travel*Passenger_Vehicles_Occupancy),"")</f>
        <v>104493.66858869734</v>
      </c>
      <c r="F115" s="175">
        <f>IFERROR((Table3D.3_TTSMoneySum[[#This Row],[Truck Delay Savings (Hrs/Day)]]*Truck_Travel),"")</f>
        <v>6883.0997489999954</v>
      </c>
      <c r="G115" s="175">
        <f>SUM(Table3D.3_TTSMoneySum[[#This Row],[Car Savings Benefits ($/Day)]:[Truck Savings Benefits ($/Day)]])*270</f>
        <v>30071727.451178282</v>
      </c>
      <c r="H115" s="175">
        <f>SUM(Table3D.3_TTSMoneySum[[#This Row],[Car Savings Benefits ($/Day)]:[Truck Savings Benefits ($/Day)]])*365</f>
        <v>40652520.44325953</v>
      </c>
    </row>
    <row r="116" spans="2:8">
      <c r="B116" s="148">
        <f t="shared" si="1"/>
        <v>2047</v>
      </c>
      <c r="C116" s="152">
        <f>IF(Table3D.3_TTSMoneySum[[#This Row],[Year]]&gt;Closeout,((G35-G76)*0.94),"")</f>
        <v>3488.8569412499978</v>
      </c>
      <c r="D116" s="152">
        <f>IF(Table3D.3_TTSMoneySum[[#This Row],[Year]]&gt;Closeout,((G35-G76)*0.06),"")</f>
        <v>222.69299624999988</v>
      </c>
      <c r="E116" s="175">
        <f>IFERROR((Table3D.3_TTSMoneySum[[#This Row],[Car Delay Savings (Hrs/Day)]]*All_Purpose_Travel*Passenger_Vehicles_Occupancy),"")</f>
        <v>109536.15252748493</v>
      </c>
      <c r="F116" s="175">
        <f>IFERROR((Table3D.3_TTSMoneySum[[#This Row],[Truck Delay Savings (Hrs/Day)]]*Truck_Travel),"")</f>
        <v>7215.2530784999954</v>
      </c>
      <c r="G116" s="175">
        <f>SUM(Table3D.3_TTSMoneySum[[#This Row],[Car Savings Benefits ($/Day)]:[Truck Savings Benefits ($/Day)]])*270</f>
        <v>31522879.513615929</v>
      </c>
      <c r="H116" s="175">
        <f>SUM(Table3D.3_TTSMoneySum[[#This Row],[Car Savings Benefits ($/Day)]:[Truck Savings Benefits ($/Day)]])*365</f>
        <v>42614263.046184495</v>
      </c>
    </row>
    <row r="117" spans="2:8">
      <c r="B117" s="148">
        <f t="shared" si="1"/>
        <v>2048</v>
      </c>
      <c r="C117" s="152">
        <f>IF(Table3D.3_TTSMoneySum[[#This Row],[Year]]&gt;Closeout,((G36-G77)*0.94),"")</f>
        <v>3649.4660614814807</v>
      </c>
      <c r="D117" s="152">
        <f>IF(Table3D.3_TTSMoneySum[[#This Row],[Year]]&gt;Closeout,((G36-G77)*0.06),"")</f>
        <v>232.94464222222217</v>
      </c>
      <c r="E117" s="175">
        <f>IFERROR((Table3D.3_TTSMoneySum[[#This Row],[Car Delay Savings (Hrs/Day)]]*All_Purpose_Travel*Passenger_Vehicles_Occupancy),"")</f>
        <v>114578.63646627258</v>
      </c>
      <c r="F117" s="175">
        <f>IFERROR((Table3D.3_TTSMoneySum[[#This Row],[Truck Delay Savings (Hrs/Day)]]*Truck_Travel),"")</f>
        <v>7547.406407999998</v>
      </c>
      <c r="G117" s="175">
        <f>SUM(Table3D.3_TTSMoneySum[[#This Row],[Car Savings Benefits ($/Day)]:[Truck Savings Benefits ($/Day)]])*270</f>
        <v>32974031.576053597</v>
      </c>
      <c r="H117" s="175">
        <f>SUM(Table3D.3_TTSMoneySum[[#This Row],[Car Savings Benefits ($/Day)]:[Truck Savings Benefits ($/Day)]])*365</f>
        <v>44576005.64910949</v>
      </c>
    </row>
    <row r="118" spans="2:8">
      <c r="B118" s="148">
        <f t="shared" si="1"/>
        <v>2049</v>
      </c>
      <c r="C118" s="152">
        <f>IF(Table3D.3_TTSMoneySum[[#This Row],[Year]]&gt;Closeout,((G37-G78)*0.94),"")</f>
        <v>3810.0751817129621</v>
      </c>
      <c r="D118" s="152">
        <f>IF(Table3D.3_TTSMoneySum[[#This Row],[Year]]&gt;Closeout,((G37-G78)*0.06),"")</f>
        <v>243.19628819444441</v>
      </c>
      <c r="E118" s="175">
        <f>IFERROR((Table3D.3_TTSMoneySum[[#This Row],[Car Delay Savings (Hrs/Day)]]*All_Purpose_Travel*Passenger_Vehicles_Occupancy),"")</f>
        <v>119621.12040506017</v>
      </c>
      <c r="F118" s="175">
        <f>IFERROR((Table3D.3_TTSMoneySum[[#This Row],[Truck Delay Savings (Hrs/Day)]]*Truck_Travel),"")</f>
        <v>7879.5597374999988</v>
      </c>
      <c r="G118" s="175">
        <f>SUM(Table3D.3_TTSMoneySum[[#This Row],[Car Savings Benefits ($/Day)]:[Truck Savings Benefits ($/Day)]])*270</f>
        <v>34425183.638491243</v>
      </c>
      <c r="H118" s="175">
        <f>SUM(Table3D.3_TTSMoneySum[[#This Row],[Car Savings Benefits ($/Day)]:[Truck Savings Benefits ($/Day)]])*365</f>
        <v>46537748.252034456</v>
      </c>
    </row>
    <row r="119" spans="2:8">
      <c r="B119" s="148">
        <f t="shared" si="1"/>
        <v>2050</v>
      </c>
      <c r="C119" s="152">
        <f>IF(Table3D.3_TTSMoneySum[[#This Row],[Year]]&gt;Closeout,((G38-G79)*0.94),"")</f>
        <v>3970.6843019444427</v>
      </c>
      <c r="D119" s="152">
        <f>IF(Table3D.3_TTSMoneySum[[#This Row],[Year]]&gt;Closeout,((G38-G79)*0.06),"")</f>
        <v>253.44793416666658</v>
      </c>
      <c r="E119" s="175">
        <f>IFERROR((Table3D.3_TTSMoneySum[[#This Row],[Car Delay Savings (Hrs/Day)]]*All_Purpose_Travel*Passenger_Vehicles_Occupancy),"")</f>
        <v>124663.60434384772</v>
      </c>
      <c r="F119" s="175">
        <f>IFERROR((Table3D.3_TTSMoneySum[[#This Row],[Truck Delay Savings (Hrs/Day)]]*Truck_Travel),"")</f>
        <v>8211.713066999997</v>
      </c>
      <c r="G119" s="175">
        <f>SUM(Table3D.3_TTSMoneySum[[#This Row],[Car Savings Benefits ($/Day)]:[Truck Savings Benefits ($/Day)]])*270</f>
        <v>35876335.700928889</v>
      </c>
      <c r="H119" s="175">
        <f>SUM(Table3D.3_TTSMoneySum[[#This Row],[Car Savings Benefits ($/Day)]:[Truck Savings Benefits ($/Day)]])*365</f>
        <v>48499490.854959421</v>
      </c>
    </row>
    <row r="120" spans="2:8">
      <c r="B120" s="148">
        <f t="shared" si="1"/>
        <v>2051</v>
      </c>
      <c r="C120" s="152">
        <f>IF(Table3D.3_TTSMoneySum[[#This Row],[Year]]&gt;Closeout,((G39-G80)*0.94),"")</f>
        <v>4131.2934221759242</v>
      </c>
      <c r="D120" s="152">
        <f>IF(Table3D.3_TTSMoneySum[[#This Row],[Year]]&gt;Closeout,((G39-G80)*0.06),"")</f>
        <v>263.69958013888879</v>
      </c>
      <c r="E120" s="175">
        <f>IFERROR((Table3D.3_TTSMoneySum[[#This Row],[Car Delay Savings (Hrs/Day)]]*All_Purpose_Travel*Passenger_Vehicles_Occupancy),"")</f>
        <v>129706.0882826353</v>
      </c>
      <c r="F120" s="175">
        <f>IFERROR((Table3D.3_TTSMoneySum[[#This Row],[Truck Delay Savings (Hrs/Day)]]*Truck_Travel),"")</f>
        <v>8543.866396499996</v>
      </c>
      <c r="G120" s="175">
        <f>SUM(Table3D.3_TTSMoneySum[[#This Row],[Car Savings Benefits ($/Day)]:[Truck Savings Benefits ($/Day)]])*270</f>
        <v>37327487.763366528</v>
      </c>
      <c r="H120" s="175">
        <f>SUM(Table3D.3_TTSMoneySum[[#This Row],[Car Savings Benefits ($/Day)]:[Truck Savings Benefits ($/Day)]])*365</f>
        <v>50461233.457884379</v>
      </c>
    </row>
    <row r="121" spans="2:8">
      <c r="B121" s="148">
        <f t="shared" si="1"/>
        <v>2052</v>
      </c>
      <c r="C121" s="152">
        <f>IF(Table3D.3_TTSMoneySum[[#This Row],[Year]]&gt;Closeout,((G40-G81)*0.94),"")</f>
        <v>4291.9025424074052</v>
      </c>
      <c r="D121" s="152">
        <f>IF(Table3D.3_TTSMoneySum[[#This Row],[Year]]&gt;Closeout,((G40-G81)*0.06),"")</f>
        <v>273.951226111111</v>
      </c>
      <c r="E121" s="175">
        <f>IFERROR((Table3D.3_TTSMoneySum[[#This Row],[Car Delay Savings (Hrs/Day)]]*All_Purpose_Travel*Passenger_Vehicles_Occupancy),"")</f>
        <v>134748.57222142289</v>
      </c>
      <c r="F121" s="175">
        <f>IFERROR((Table3D.3_TTSMoneySum[[#This Row],[Truck Delay Savings (Hrs/Day)]]*Truck_Travel),"")</f>
        <v>8876.0197259999968</v>
      </c>
      <c r="G121" s="175">
        <f>SUM(Table3D.3_TTSMoneySum[[#This Row],[Car Savings Benefits ($/Day)]:[Truck Savings Benefits ($/Day)]])*270</f>
        <v>38778639.825804181</v>
      </c>
      <c r="H121" s="175">
        <f>SUM(Table3D.3_TTSMoneySum[[#This Row],[Car Savings Benefits ($/Day)]:[Truck Savings Benefits ($/Day)]])*365</f>
        <v>52422976.060809352</v>
      </c>
    </row>
    <row r="122" spans="2:8">
      <c r="B122" s="148">
        <f t="shared" si="1"/>
        <v>2053</v>
      </c>
      <c r="C122" s="152">
        <f>IF(Table3D.3_TTSMoneySum[[#This Row],[Year]]&gt;Closeout,((G41-G82)*0.94),"")</f>
        <v>4452.5116626388872</v>
      </c>
      <c r="D122" s="152">
        <f>IF(Table3D.3_TTSMoneySum[[#This Row],[Year]]&gt;Closeout,((G41-G82)*0.06),"")</f>
        <v>284.2028720833332</v>
      </c>
      <c r="E122" s="175">
        <f>IFERROR((Table3D.3_TTSMoneySum[[#This Row],[Car Delay Savings (Hrs/Day)]]*All_Purpose_Travel*Passenger_Vehicles_Occupancy),"")</f>
        <v>139791.05616021052</v>
      </c>
      <c r="F122" s="175">
        <f>IFERROR((Table3D.3_TTSMoneySum[[#This Row],[Truck Delay Savings (Hrs/Day)]]*Truck_Travel),"")</f>
        <v>9208.1730554999958</v>
      </c>
      <c r="G122" s="175">
        <f>SUM(Table3D.3_TTSMoneySum[[#This Row],[Car Savings Benefits ($/Day)]:[Truck Savings Benefits ($/Day)]])*270</f>
        <v>40229791.888241835</v>
      </c>
      <c r="H122" s="175">
        <f>SUM(Table3D.3_TTSMoneySum[[#This Row],[Car Savings Benefits ($/Day)]:[Truck Savings Benefits ($/Day)]])*365</f>
        <v>54384718.663734339</v>
      </c>
    </row>
    <row r="123" spans="2:8">
      <c r="B123" s="148">
        <f t="shared" si="1"/>
        <v>2054</v>
      </c>
      <c r="C123" s="152">
        <f>IF(Table3D.3_TTSMoneySum[[#This Row],[Year]]&gt;Closeout,((G42-G83)*0.94),"")</f>
        <v>4613.1207828703691</v>
      </c>
      <c r="D123" s="152">
        <f>IF(Table3D.3_TTSMoneySum[[#This Row],[Year]]&gt;Closeout,((G42-G83)*0.06),"")</f>
        <v>294.45451805555552</v>
      </c>
      <c r="E123" s="175">
        <f>IFERROR((Table3D.3_TTSMoneySum[[#This Row],[Car Delay Savings (Hrs/Day)]]*All_Purpose_Travel*Passenger_Vehicles_Occupancy),"")</f>
        <v>144833.54009899811</v>
      </c>
      <c r="F123" s="175">
        <f>IFERROR((Table3D.3_TTSMoneySum[[#This Row],[Truck Delay Savings (Hrs/Day)]]*Truck_Travel),"")</f>
        <v>9540.3263849999985</v>
      </c>
      <c r="G123" s="175">
        <f>SUM(Table3D.3_TTSMoneySum[[#This Row],[Car Savings Benefits ($/Day)]:[Truck Savings Benefits ($/Day)]])*270</f>
        <v>41680943.950679488</v>
      </c>
      <c r="H123" s="175">
        <f>SUM(Table3D.3_TTSMoneySum[[#This Row],[Car Savings Benefits ($/Day)]:[Truck Savings Benefits ($/Day)]])*365</f>
        <v>56346461.266659312</v>
      </c>
    </row>
    <row r="124" spans="2:8">
      <c r="B124" s="148">
        <f t="shared" si="1"/>
        <v>2055</v>
      </c>
      <c r="C124" s="152">
        <f>IF(Table3D.3_TTSMoneySum[[#This Row],[Year]]&gt;Closeout,((G43-G84)*0.94),"")</f>
        <v>4773.7299031018511</v>
      </c>
      <c r="D124" s="152">
        <f>IF(Table3D.3_TTSMoneySum[[#This Row],[Year]]&gt;Closeout,((G43-G84)*0.06),"")</f>
        <v>304.70616402777773</v>
      </c>
      <c r="E124" s="175">
        <f>IFERROR((Table3D.3_TTSMoneySum[[#This Row],[Car Delay Savings (Hrs/Day)]]*All_Purpose_Travel*Passenger_Vehicles_Occupancy),"")</f>
        <v>149876.02403778571</v>
      </c>
      <c r="F124" s="175">
        <f>IFERROR((Table3D.3_TTSMoneySum[[#This Row],[Truck Delay Savings (Hrs/Day)]]*Truck_Travel),"")</f>
        <v>9872.4797144999975</v>
      </c>
      <c r="G124" s="175">
        <f>SUM(Table3D.3_TTSMoneySum[[#This Row],[Car Savings Benefits ($/Day)]:[Truck Savings Benefits ($/Day)]])*270</f>
        <v>43132096.013117142</v>
      </c>
      <c r="H124" s="175">
        <f>SUM(Table3D.3_TTSMoneySum[[#This Row],[Car Savings Benefits ($/Day)]:[Truck Savings Benefits ($/Day)]])*365</f>
        <v>58308203.869584285</v>
      </c>
    </row>
    <row r="125" spans="2:8">
      <c r="B125" s="148">
        <f t="shared" si="1"/>
        <v>2056</v>
      </c>
      <c r="C125" s="152">
        <f>IF(Table3D.3_TTSMoneySum[[#This Row],[Year]]&gt;Closeout,((G44-G85)*0.94),"")</f>
        <v>4934.3390233333321</v>
      </c>
      <c r="D125" s="152">
        <f>IF(Table3D.3_TTSMoneySum[[#This Row],[Year]]&gt;Closeout,((G44-G85)*0.06),"")</f>
        <v>314.95780999999988</v>
      </c>
      <c r="E125" s="175">
        <f>IFERROR((Table3D.3_TTSMoneySum[[#This Row],[Car Delay Savings (Hrs/Day)]]*All_Purpose_Travel*Passenger_Vehicles_Occupancy),"")</f>
        <v>154918.50797657328</v>
      </c>
      <c r="F125" s="175">
        <f>IFERROR((Table3D.3_TTSMoneySum[[#This Row],[Truck Delay Savings (Hrs/Day)]]*Truck_Travel),"")</f>
        <v>10204.633043999997</v>
      </c>
      <c r="G125" s="175">
        <f>SUM(Table3D.3_TTSMoneySum[[#This Row],[Car Savings Benefits ($/Day)]:[Truck Savings Benefits ($/Day)]])*270</f>
        <v>44583248.075554781</v>
      </c>
      <c r="H125" s="175">
        <f>SUM(Table3D.3_TTSMoneySum[[#This Row],[Car Savings Benefits ($/Day)]:[Truck Savings Benefits ($/Day)]])*365</f>
        <v>60269946.472509243</v>
      </c>
    </row>
    <row r="126" spans="2:8">
      <c r="B126" s="148">
        <f t="shared" si="1"/>
        <v>2057</v>
      </c>
      <c r="C126" s="152">
        <f>IF(Table3D.3_TTSMoneySum[[#This Row],[Year]]&gt;Closeout,((G45-G86)*0.94),"")</f>
        <v>5094.9481435648131</v>
      </c>
      <c r="D126" s="152">
        <f>IF(Table3D.3_TTSMoneySum[[#This Row],[Year]]&gt;Closeout,((G45-G86)*0.06),"")</f>
        <v>325.20945597222214</v>
      </c>
      <c r="E126" s="175">
        <f>IFERROR((Table3D.3_TTSMoneySum[[#This Row],[Car Delay Savings (Hrs/Day)]]*All_Purpose_Travel*Passenger_Vehicles_Occupancy),"")</f>
        <v>159960.99191536088</v>
      </c>
      <c r="F126" s="175">
        <f>IFERROR((Table3D.3_TTSMoneySum[[#This Row],[Truck Delay Savings (Hrs/Day)]]*Truck_Travel),"")</f>
        <v>10536.786373499997</v>
      </c>
      <c r="G126" s="175">
        <f>SUM(Table3D.3_TTSMoneySum[[#This Row],[Car Savings Benefits ($/Day)]:[Truck Savings Benefits ($/Day)]])*270</f>
        <v>46034400.137992434</v>
      </c>
      <c r="H126" s="175">
        <f>SUM(Table3D.3_TTSMoneySum[[#This Row],[Car Savings Benefits ($/Day)]:[Truck Savings Benefits ($/Day)]])*365</f>
        <v>62231689.075434215</v>
      </c>
    </row>
    <row r="127" spans="2:8">
      <c r="B127" s="148">
        <f t="shared" si="1"/>
        <v>2058</v>
      </c>
      <c r="C127" s="152">
        <f>IF(Table3D.3_TTSMoneySum[[#This Row],[Year]]&gt;Closeout,((G45-G86)*0.94),"")</f>
        <v>5094.9481435648131</v>
      </c>
      <c r="D127" s="152">
        <f>IF(Table3D.3_TTSMoneySum[[#This Row],[Year]]&gt;Closeout,((G45-G86)*0.06),"")</f>
        <v>325.20945597222214</v>
      </c>
      <c r="E127" s="175">
        <f>IFERROR((Table3D.3_TTSMoneySum[[#This Row],[Car Delay Savings (Hrs/Day)]]*All_Purpose_Travel*Passenger_Vehicles_Occupancy),"")</f>
        <v>159960.99191536088</v>
      </c>
      <c r="F127" s="175">
        <f>IFERROR((Table3D.3_TTSMoneySum[[#This Row],[Truck Delay Savings (Hrs/Day)]]*Truck_Travel),"")</f>
        <v>10536.786373499997</v>
      </c>
      <c r="G127" s="175">
        <f>SUM(Table3D.3_TTSMoneySum[[#This Row],[Car Savings Benefits ($/Day)]:[Truck Savings Benefits ($/Day)]])*270</f>
        <v>46034400.137992434</v>
      </c>
      <c r="H127" s="175">
        <f>SUM(Table3D.3_TTSMoneySum[[#This Row],[Car Savings Benefits ($/Day)]:[Truck Savings Benefits ($/Day)]])*365</f>
        <v>62231689.075434215</v>
      </c>
    </row>
    <row r="128" spans="2:8">
      <c r="B128" s="148" t="s">
        <v>28</v>
      </c>
      <c r="C128"/>
      <c r="D128"/>
      <c r="E128" s="176">
        <f>SUBTOTAL(109,Table3D.3_TTSMoneySum[Car Savings Benefits ($/Day)])</f>
        <v>2765310.2360035856</v>
      </c>
      <c r="F128" s="176">
        <f>SUBTOTAL(109,Table3D.3_TTSMoneySum[Truck Savings Benefits ($/Day)])</f>
        <v>182153.6792459999</v>
      </c>
      <c r="G128" s="176">
        <f>SUBTOTAL(109,Table3D.3_TTSMoneySum[Annual Benefits, Low (270 Days)])</f>
        <v>795815257.11738777</v>
      </c>
      <c r="H128" s="176">
        <f>SUBTOTAL(109,Table3D.3_TTSMoneySum[Annual Benefits, High (365 Days)])</f>
        <v>1075824329.0660985</v>
      </c>
    </row>
  </sheetData>
  <mergeCells count="1">
    <mergeCell ref="A1:I1"/>
  </mergeCells>
  <pageMargins left="0.7" right="0.7" top="0.75" bottom="0.75" header="0.3" footer="0.3"/>
  <pageSetup scale="66" fitToHeight="0" orientation="landscape" r:id="rId1"/>
  <rowBreaks count="2" manualBreakCount="2">
    <brk id="46" max="16383" man="1"/>
    <brk id="87" max="16383" man="1"/>
  </rowBreaks>
  <drawing r:id="rId2"/>
  <tableParts count="3">
    <tablePart r:id="rId3"/>
    <tablePart r:id="rId4"/>
    <tablePart r:id="rId5"/>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17626-9BD9-42B9-AD9D-AFFBA6CA6C0F}">
  <sheetPr>
    <tabColor theme="9"/>
    <pageSetUpPr fitToPage="1"/>
  </sheetPr>
  <dimension ref="A1:I45"/>
  <sheetViews>
    <sheetView showGridLines="0" zoomScaleNormal="100" workbookViewId="0">
      <selection activeCell="A11" sqref="A11"/>
    </sheetView>
  </sheetViews>
  <sheetFormatPr defaultColWidth="9.140625" defaultRowHeight="12.75"/>
  <cols>
    <col min="1" max="1" width="21.7109375" style="82" customWidth="1"/>
    <col min="2" max="8" width="15.7109375" style="82" customWidth="1"/>
    <col min="9" max="9" width="25.7109375" style="82" customWidth="1"/>
    <col min="10" max="16384" width="9.140625" style="82"/>
  </cols>
  <sheetData>
    <row r="1" spans="1:9" ht="15" customHeight="1">
      <c r="A1" s="149" t="s">
        <v>149</v>
      </c>
      <c r="B1" s="150"/>
      <c r="C1" s="150"/>
      <c r="D1" s="150"/>
      <c r="E1" s="150"/>
      <c r="F1" s="150"/>
      <c r="G1" s="150"/>
      <c r="H1" s="150"/>
      <c r="I1" s="150"/>
    </row>
    <row r="2" spans="1:9" ht="15" customHeight="1">
      <c r="A2" s="87" t="s">
        <v>1</v>
      </c>
      <c r="B2" s="71" t="str">
        <f>Project_Name</f>
        <v>Completing the I-95 Missing Move and Quonset Connector Ramps</v>
      </c>
    </row>
    <row r="3" spans="1:9" ht="15" customHeight="1">
      <c r="A3" s="87" t="s">
        <v>2</v>
      </c>
      <c r="B3" s="71" t="s">
        <v>56</v>
      </c>
    </row>
    <row r="4" spans="1:9" ht="15" customHeight="1">
      <c r="A4" s="87" t="s">
        <v>4</v>
      </c>
      <c r="B4" s="88">
        <f>Date</f>
        <v>45159</v>
      </c>
    </row>
    <row r="5" spans="1:9" ht="30" customHeight="1" thickBot="1"/>
    <row r="6" spans="1:9" ht="48.75" customHeight="1">
      <c r="A6" s="498" t="s">
        <v>229</v>
      </c>
      <c r="B6" s="481"/>
      <c r="C6" s="481"/>
      <c r="D6" s="481"/>
      <c r="E6" s="481"/>
      <c r="F6" s="481"/>
      <c r="G6" s="481"/>
      <c r="H6" s="481"/>
      <c r="I6" s="482"/>
    </row>
    <row r="7" spans="1:9" ht="49.5" customHeight="1">
      <c r="A7" s="483"/>
      <c r="B7" s="484"/>
      <c r="C7" s="484"/>
      <c r="D7" s="484"/>
      <c r="E7" s="484"/>
      <c r="F7" s="484"/>
      <c r="G7" s="484"/>
      <c r="H7" s="484"/>
      <c r="I7" s="485"/>
    </row>
    <row r="8" spans="1:9" ht="30" customHeight="1">
      <c r="A8" s="483"/>
      <c r="B8" s="484"/>
      <c r="C8" s="484"/>
      <c r="D8" s="484"/>
      <c r="E8" s="484"/>
      <c r="F8" s="484"/>
      <c r="G8" s="484"/>
      <c r="H8" s="484"/>
      <c r="I8" s="485"/>
    </row>
    <row r="9" spans="1:9" ht="30" customHeight="1">
      <c r="A9" s="483"/>
      <c r="B9" s="484"/>
      <c r="C9" s="484"/>
      <c r="D9" s="484"/>
      <c r="E9" s="484"/>
      <c r="F9" s="484"/>
      <c r="G9" s="484"/>
      <c r="H9" s="484"/>
      <c r="I9" s="485"/>
    </row>
    <row r="10" spans="1:9" ht="30" customHeight="1" thickBot="1">
      <c r="A10" s="486"/>
      <c r="B10" s="487"/>
      <c r="C10" s="487"/>
      <c r="D10" s="487"/>
      <c r="E10" s="487"/>
      <c r="F10" s="487"/>
      <c r="G10" s="487"/>
      <c r="H10" s="487"/>
      <c r="I10" s="488"/>
    </row>
    <row r="11" spans="1:9">
      <c r="A11" s="71"/>
      <c r="B11" s="148"/>
      <c r="C11" s="148"/>
      <c r="D11" s="148"/>
      <c r="E11" s="148"/>
      <c r="F11" s="148"/>
      <c r="G11" s="148"/>
      <c r="H11" s="148"/>
      <c r="I11" s="148"/>
    </row>
    <row r="12" spans="1:9">
      <c r="B12" s="71" t="s">
        <v>151</v>
      </c>
    </row>
    <row r="13" spans="1:9">
      <c r="B13" s="71"/>
    </row>
    <row r="14" spans="1:9" s="112" customFormat="1" ht="38.25">
      <c r="B14" s="170" t="s">
        <v>152</v>
      </c>
      <c r="C14" s="170" t="s">
        <v>153</v>
      </c>
      <c r="D14" s="170" t="s">
        <v>154</v>
      </c>
      <c r="E14" s="170" t="s">
        <v>155</v>
      </c>
      <c r="F14" s="170" t="s">
        <v>156</v>
      </c>
      <c r="G14" s="170" t="s">
        <v>157</v>
      </c>
      <c r="H14" s="170" t="s">
        <v>158</v>
      </c>
      <c r="I14" s="122" t="s">
        <v>159</v>
      </c>
    </row>
    <row r="15" spans="1:9">
      <c r="B15" s="168" t="s">
        <v>160</v>
      </c>
      <c r="C15" s="420" cm="1">
        <f t="array" ref="C15">Traffic_27NB</f>
        <v>68660</v>
      </c>
      <c r="D15" s="420" cm="1">
        <f t="array" ref="D15">VMT_27NB</f>
        <v>87630.58</v>
      </c>
      <c r="E15" s="420" cm="1">
        <f t="array" ref="E15">VHT_27NB</f>
        <v>3627.4531555555564</v>
      </c>
      <c r="F15" s="420" cm="1">
        <f t="array" ref="F15">MPH_27NB</f>
        <v>31.038</v>
      </c>
      <c r="G15" s="420" cm="1">
        <f t="array" ref="G15">AvgDelay_27NB</f>
        <v>2.6715370370370372E-2</v>
      </c>
      <c r="H15" s="369">
        <v>0</v>
      </c>
      <c r="I15" s="421">
        <f>Table3.1_TTS_Sum_Open94[[#This Row],[Travel Time Savings Benefit ($/Day)]]*365</f>
        <v>0</v>
      </c>
    </row>
    <row r="16" spans="1:9" ht="25.5">
      <c r="B16" s="168" t="s">
        <v>161</v>
      </c>
      <c r="C16" s="420" cm="1">
        <f t="array" ref="C16">Traffic_27PA</f>
        <v>69231</v>
      </c>
      <c r="D16" s="420" cm="1">
        <f t="array" ref="D16">VMT_27PA</f>
        <v>90511.739999999991</v>
      </c>
      <c r="E16" s="420" cm="1">
        <f t="array" ref="E16">VHT_27PA</f>
        <v>2552.499483333333</v>
      </c>
      <c r="F16" s="420" cm="1">
        <f t="array" ref="F16">MPH_27PA</f>
        <v>35.773333333333333</v>
      </c>
      <c r="G16" s="420" cm="1">
        <f t="array" ref="G16">AvgDelay_27PA</f>
        <v>5.6968518518518522E-3</v>
      </c>
      <c r="H16" s="369" cm="1">
        <f t="array" ref="H16">TTSB_27/365</f>
        <v>37841.572827434</v>
      </c>
      <c r="I16" s="421">
        <f>Table3.1_TTS_Sum_Open94[[#This Row],[Travel Time Savings Benefit ($/Day)]]*365</f>
        <v>13812174.08201341</v>
      </c>
    </row>
    <row r="18" spans="2:9">
      <c r="B18" s="71" t="s">
        <v>162</v>
      </c>
    </row>
    <row r="19" spans="2:9">
      <c r="B19" s="71"/>
    </row>
    <row r="20" spans="2:9" ht="38.25">
      <c r="B20" s="170" t="s">
        <v>152</v>
      </c>
      <c r="C20" s="170" t="s">
        <v>153</v>
      </c>
      <c r="D20" s="170" t="s">
        <v>154</v>
      </c>
      <c r="E20" s="170" t="s">
        <v>155</v>
      </c>
      <c r="F20" s="170" t="s">
        <v>156</v>
      </c>
      <c r="G20" s="170" t="s">
        <v>157</v>
      </c>
      <c r="H20" s="170" t="s">
        <v>158</v>
      </c>
      <c r="I20" s="122" t="s">
        <v>159</v>
      </c>
    </row>
    <row r="21" spans="2:9">
      <c r="B21" s="168" t="s">
        <v>163</v>
      </c>
      <c r="C21" s="420" cm="1">
        <f t="array" ref="C21">Traffic_57NB</f>
        <v>80599</v>
      </c>
      <c r="D21" s="420" cm="1">
        <f t="array" ref="D21">VMT_57NB</f>
        <v>105000.45999999999</v>
      </c>
      <c r="E21" s="420" cm="1">
        <f t="array" ref="E21">VHT_57NB</f>
        <v>4203.3372166666668</v>
      </c>
      <c r="F21" s="420" cm="1">
        <f t="array" ref="F21">MPH_57NB</f>
        <v>31.347333333333331</v>
      </c>
      <c r="G21" s="420" cm="1">
        <f t="array" ref="G21">AvgDelay_57NB</f>
        <v>2.676722222222222E-2</v>
      </c>
      <c r="H21" s="369">
        <v>0</v>
      </c>
      <c r="I21" s="421">
        <f>Table3.2_TTS_Sum_Des96[[#This Row],[Travel Time Savings Benefit ($/Day)]]*365</f>
        <v>0</v>
      </c>
    </row>
    <row r="22" spans="2:9" ht="25.5">
      <c r="B22" s="168" t="s">
        <v>164</v>
      </c>
      <c r="C22" s="420" cm="1">
        <f t="array" ref="C22">Traffic_57PA</f>
        <v>82661</v>
      </c>
      <c r="D22" s="420" cm="1">
        <f t="array" ref="D22">VMT_57PA</f>
        <v>109707.22</v>
      </c>
      <c r="E22" s="420" cm="1">
        <f t="array" ref="E22">VHT_57PA</f>
        <v>3116.9147805555554</v>
      </c>
      <c r="F22" s="420" cm="1">
        <f t="array" ref="F22">MPH_57PA</f>
        <v>35.869999999999997</v>
      </c>
      <c r="G22" s="420" cm="1">
        <f t="array" ref="G22">AvgDelay_57PA</f>
        <v>6.0774074074074072E-3</v>
      </c>
      <c r="H22" s="369" cm="1">
        <f t="array" ref="H22">TTSB_57/365</f>
        <v>54607.479534446655</v>
      </c>
      <c r="I22" s="421">
        <f>Table3.2_TTS_Sum_Des96[[#This Row],[Travel Time Savings Benefit ($/Day)]]*365</f>
        <v>19931730.030073028</v>
      </c>
    </row>
    <row r="23" spans="2:9">
      <c r="B23" s="168"/>
      <c r="C23" s="420"/>
      <c r="D23" s="420"/>
      <c r="E23" s="420"/>
      <c r="F23" s="420"/>
      <c r="G23" s="420"/>
      <c r="H23" s="369"/>
    </row>
    <row r="24" spans="2:9">
      <c r="B24" s="71" t="s">
        <v>165</v>
      </c>
    </row>
    <row r="26" spans="2:9" ht="38.25">
      <c r="B26" s="122" t="s">
        <v>152</v>
      </c>
      <c r="C26" s="170" t="s">
        <v>153</v>
      </c>
      <c r="D26" s="170" t="s">
        <v>154</v>
      </c>
      <c r="E26" s="170" t="s">
        <v>155</v>
      </c>
      <c r="F26" s="170" t="s">
        <v>156</v>
      </c>
      <c r="G26" s="170" t="s">
        <v>157</v>
      </c>
      <c r="H26" s="170" t="s">
        <v>158</v>
      </c>
      <c r="I26" s="122" t="s">
        <v>159</v>
      </c>
    </row>
    <row r="27" spans="2:9" ht="25.5">
      <c r="B27" s="170" t="s">
        <v>166</v>
      </c>
      <c r="C27" s="419">
        <f t="shared" ref="C27:H28" si="0">(C21-C15)/30</f>
        <v>397.96666666666664</v>
      </c>
      <c r="D27" s="419">
        <f t="shared" si="0"/>
        <v>578.99599999999964</v>
      </c>
      <c r="E27" s="419">
        <f>(E21-E15)/30</f>
        <v>19.196135370370349</v>
      </c>
      <c r="F27" s="419">
        <f t="shared" si="0"/>
        <v>1.0311111111111042E-2</v>
      </c>
      <c r="G27" s="419">
        <f t="shared" si="0"/>
        <v>1.728395061728269E-6</v>
      </c>
      <c r="H27" s="418">
        <f t="shared" si="0"/>
        <v>0</v>
      </c>
      <c r="I27" s="417">
        <f>Table3.3_TTS_Rates95[[#This Row],[Travel Time Savings Benefit ($/Day)]]*365</f>
        <v>0</v>
      </c>
    </row>
    <row r="28" spans="2:9" ht="25.5">
      <c r="B28" s="170" t="s">
        <v>167</v>
      </c>
      <c r="C28" s="419">
        <f t="shared" si="0"/>
        <v>447.66666666666669</v>
      </c>
      <c r="D28" s="419">
        <f t="shared" si="0"/>
        <v>639.84933333333368</v>
      </c>
      <c r="E28" s="419">
        <f t="shared" si="0"/>
        <v>18.813843240740745</v>
      </c>
      <c r="F28" s="419">
        <f t="shared" si="0"/>
        <v>3.2222222222221338E-3</v>
      </c>
      <c r="G28" s="419">
        <f t="shared" si="0"/>
        <v>1.2685185185185166E-5</v>
      </c>
      <c r="H28" s="418">
        <f>(H22-H16)/30</f>
        <v>558.86355690042183</v>
      </c>
      <c r="I28" s="417">
        <f>Table3.3_TTS_Rates95[[#This Row],[Travel Time Savings Benefit ($/Day)]]*365</f>
        <v>203985.19826865397</v>
      </c>
    </row>
    <row r="30" spans="2:9">
      <c r="B30" s="71" t="s">
        <v>168</v>
      </c>
    </row>
    <row r="31" spans="2:9">
      <c r="E31" s="81"/>
      <c r="F31" s="81"/>
    </row>
    <row r="32" spans="2:9" ht="38.25">
      <c r="B32" s="122" t="s">
        <v>152</v>
      </c>
      <c r="C32" s="122" t="s">
        <v>169</v>
      </c>
      <c r="D32" s="122" t="s">
        <v>170</v>
      </c>
      <c r="E32" s="122" t="s">
        <v>171</v>
      </c>
      <c r="F32" s="122" t="s">
        <v>156</v>
      </c>
      <c r="G32" s="122" t="s">
        <v>172</v>
      </c>
      <c r="H32" s="122" t="s">
        <v>173</v>
      </c>
      <c r="I32" s="122" t="s">
        <v>96</v>
      </c>
    </row>
    <row r="33" spans="2:9" ht="25.5">
      <c r="B33" s="81" t="s">
        <v>174</v>
      </c>
      <c r="C33" s="416">
        <f>Table3D.1_DailyTTS_NB110[[#Totals],[Total Traffic in Network (Veh/Day)]]</f>
        <v>74032.55</v>
      </c>
      <c r="D33" s="416">
        <f>Table3D.1_DailyTTS_NB110[[#Totals],[Vehicle Miles Traveled (VMT/Day)]]</f>
        <v>95447.025999999998</v>
      </c>
      <c r="E33" s="416">
        <f>Table3D.1_DailyTTS_NB110[[#Totals],[Vehicle Hours Traveled (VHT/Day)]]</f>
        <v>3886.6009830555558</v>
      </c>
      <c r="F33" s="416">
        <f>Table3D.1_DailyTTS_NB110[[#Totals],[Average Speed (MPH)]]</f>
        <v>31.177200000000003</v>
      </c>
      <c r="G33" s="416">
        <f>Table3D.1_DailyTTS_NB110[[#Totals],[Total Delay (hrs/day)]]</f>
        <v>1511.8425790277781</v>
      </c>
      <c r="H33" s="82">
        <v>0</v>
      </c>
      <c r="I33" s="82">
        <f>Table5397[[#This Row],[Travel Time Savings Benefit (Avg. $/Year)]]*30</f>
        <v>0</v>
      </c>
    </row>
    <row r="34" spans="2:9" ht="25.5">
      <c r="B34" s="81" t="s">
        <v>175</v>
      </c>
      <c r="C34" s="415">
        <f>Table3D.2_DailyTTS_PA111[[#Totals],[Total Traffic in Network (Veh/Day)]]</f>
        <v>75274.499999999985</v>
      </c>
      <c r="D34" s="415">
        <f>Table3D.2_DailyTTS_PA111[[#Totals],[Vehicle Miles Traveled (VMT/Day)]]</f>
        <v>99149.705999999991</v>
      </c>
      <c r="E34" s="415">
        <f>Table3D.2_DailyTTS_PA111[[#Totals],[Vehicle Hours Traveled (VHT/Day)]]</f>
        <v>2806.4863670833333</v>
      </c>
      <c r="F34" s="415">
        <f>Table3D.2_DailyTTS_PA111[[#Totals],[Average Speed (MPH)]]</f>
        <v>35.816833333333335</v>
      </c>
      <c r="G34" s="415">
        <f>Table3D.2_DailyTTS_PA111[[#Totals],[Total Delay (hrs/day)]]</f>
        <v>488.23819611111099</v>
      </c>
      <c r="H34" s="126">
        <f>Table3D.3_TTSMoneySum112[[#Totals],[Annual Benefits, Low (270 Days)]]/30</f>
        <v>9018412.1333666313</v>
      </c>
      <c r="I34" s="380">
        <f>Table5397[[#This Row],[Travel Time Savings Benefit (Avg. $/Year)]]*30</f>
        <v>270552364.00099891</v>
      </c>
    </row>
    <row r="35" spans="2:9" ht="15" customHeight="1">
      <c r="B35" s="81" t="s">
        <v>28</v>
      </c>
      <c r="C35" s="152">
        <f t="shared" ref="C35:H35" si="1">C34-C33</f>
        <v>1241.9499999999825</v>
      </c>
      <c r="D35" s="152">
        <f t="shared" si="1"/>
        <v>3702.679999999993</v>
      </c>
      <c r="E35" s="152">
        <f t="shared" si="1"/>
        <v>-1080.1146159722225</v>
      </c>
      <c r="F35" s="152">
        <f t="shared" si="1"/>
        <v>4.6396333333333324</v>
      </c>
      <c r="G35" s="152">
        <f t="shared" si="1"/>
        <v>-1023.6043829166672</v>
      </c>
      <c r="H35" s="370">
        <f t="shared" si="1"/>
        <v>9018412.1333666313</v>
      </c>
      <c r="I35" s="176">
        <f>SUBTOTAL(109,Table5397[30-Year Total])</f>
        <v>270552364.00099891</v>
      </c>
    </row>
    <row r="36" spans="2:9">
      <c r="C36" s="81"/>
      <c r="D36" s="81"/>
      <c r="G36" s="81"/>
      <c r="H36" s="81"/>
    </row>
    <row r="37" spans="2:9" ht="15" customHeight="1">
      <c r="B37" s="81"/>
    </row>
    <row r="38" spans="2:9" ht="32.25" customHeight="1">
      <c r="B38" s="81"/>
      <c r="I38" s="81"/>
    </row>
    <row r="39" spans="2:9">
      <c r="B39" s="81"/>
      <c r="I39" s="81"/>
    </row>
    <row r="40" spans="2:9">
      <c r="B40" s="81"/>
    </row>
    <row r="41" spans="2:9">
      <c r="B41" s="81"/>
    </row>
    <row r="42" spans="2:9">
      <c r="B42" s="81"/>
    </row>
    <row r="43" spans="2:9">
      <c r="B43" s="81"/>
    </row>
    <row r="44" spans="2:9" ht="15" customHeight="1"/>
    <row r="45" spans="2:9" ht="15" customHeight="1"/>
  </sheetData>
  <mergeCells count="1">
    <mergeCell ref="A6:I10"/>
  </mergeCells>
  <dataValidations count="1">
    <dataValidation allowBlank="1" showInputMessage="1" showErrorMessage="1" sqref="A1" xr:uid="{CCBBCC8C-BA90-4522-A7DF-14FC38F160A1}"/>
  </dataValidations>
  <pageMargins left="0.7" right="0.7" top="0.75" bottom="0.75" header="0.3" footer="0.3"/>
  <pageSetup paperSize="3" scale="68" orientation="landscape" r:id="rId1"/>
  <drawing r:id="rId2"/>
  <tableParts count="4">
    <tablePart r:id="rId3"/>
    <tablePart r:id="rId4"/>
    <tablePart r:id="rId5"/>
    <tablePart r:id="rId6"/>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2080B-8A6C-458C-884B-966E87F71D60}">
  <sheetPr>
    <tabColor theme="0" tint="-0.249977111117893"/>
    <pageSetUpPr fitToPage="1"/>
  </sheetPr>
  <dimension ref="A1:I152"/>
  <sheetViews>
    <sheetView showGridLines="0" zoomScale="85" zoomScaleNormal="85" workbookViewId="0">
      <selection activeCell="B9" sqref="B9:I9"/>
    </sheetView>
  </sheetViews>
  <sheetFormatPr defaultColWidth="9.140625" defaultRowHeight="12.75"/>
  <cols>
    <col min="1" max="1" width="21.7109375" style="61" customWidth="1"/>
    <col min="2" max="8" width="15.7109375" style="67" customWidth="1"/>
    <col min="9" max="9" width="21.7109375" style="61" customWidth="1"/>
    <col min="10" max="15" width="9.140625" style="61"/>
    <col min="16" max="16" width="16.140625" style="61" bestFit="1" customWidth="1"/>
    <col min="17" max="16384" width="9.140625" style="61"/>
  </cols>
  <sheetData>
    <row r="1" spans="1:9" ht="15" customHeight="1">
      <c r="A1" s="501" t="s">
        <v>230</v>
      </c>
      <c r="B1" s="501"/>
      <c r="C1" s="501"/>
      <c r="D1" s="501"/>
      <c r="E1" s="501"/>
      <c r="F1" s="501"/>
      <c r="G1" s="501"/>
      <c r="H1" s="501"/>
      <c r="I1" s="501"/>
    </row>
    <row r="2" spans="1:9" ht="15" customHeight="1">
      <c r="A2" s="139" t="s">
        <v>1</v>
      </c>
      <c r="B2" s="63" t="str">
        <f>Project_Name</f>
        <v>Completing the I-95 Missing Move and Quonset Connector Ramps</v>
      </c>
      <c r="I2" s="67"/>
    </row>
    <row r="3" spans="1:9" ht="15" customHeight="1">
      <c r="A3" s="139" t="s">
        <v>2</v>
      </c>
      <c r="B3" s="63" t="s">
        <v>56</v>
      </c>
      <c r="I3" s="67"/>
    </row>
    <row r="4" spans="1:9" ht="15" customHeight="1">
      <c r="A4" s="139" t="s">
        <v>4</v>
      </c>
      <c r="B4" s="64">
        <f>Date</f>
        <v>45159</v>
      </c>
      <c r="I4" s="67"/>
    </row>
    <row r="5" spans="1:9" ht="30" customHeight="1">
      <c r="A5" s="139"/>
      <c r="B5" s="64"/>
      <c r="I5" s="67"/>
    </row>
    <row r="6" spans="1:9">
      <c r="A6" s="139"/>
      <c r="B6" s="64"/>
      <c r="I6" s="67"/>
    </row>
    <row r="7" spans="1:9" ht="15" customHeight="1" thickBot="1">
      <c r="A7" s="67"/>
      <c r="I7" s="67"/>
    </row>
    <row r="8" spans="1:9" ht="99.95" customHeight="1" thickBot="1">
      <c r="A8" s="102" t="s">
        <v>99</v>
      </c>
      <c r="B8" s="489" t="s">
        <v>231</v>
      </c>
      <c r="C8" s="494"/>
      <c r="D8" s="494"/>
      <c r="E8" s="494"/>
      <c r="F8" s="494"/>
      <c r="G8" s="494"/>
      <c r="H8" s="494"/>
      <c r="I8" s="495"/>
    </row>
    <row r="9" spans="1:9" ht="147" customHeight="1" thickBot="1">
      <c r="A9" s="102" t="s">
        <v>101</v>
      </c>
      <c r="B9" s="489" t="s">
        <v>178</v>
      </c>
      <c r="C9" s="490"/>
      <c r="D9" s="490"/>
      <c r="E9" s="490"/>
      <c r="F9" s="490"/>
      <c r="G9" s="490"/>
      <c r="H9" s="490"/>
      <c r="I9" s="491"/>
    </row>
    <row r="10" spans="1:9" ht="30" customHeight="1" thickBot="1">
      <c r="A10" s="102" t="s">
        <v>103</v>
      </c>
      <c r="B10" s="489" t="s">
        <v>179</v>
      </c>
      <c r="C10" s="490"/>
      <c r="D10" s="490"/>
      <c r="E10" s="490"/>
      <c r="F10" s="490"/>
      <c r="G10" s="490"/>
      <c r="H10" s="490"/>
      <c r="I10" s="491"/>
    </row>
    <row r="11" spans="1:9" ht="44.25" customHeight="1" thickBot="1">
      <c r="A11" s="102" t="s">
        <v>105</v>
      </c>
      <c r="B11" s="489" t="s">
        <v>180</v>
      </c>
      <c r="C11" s="490"/>
      <c r="D11" s="490"/>
      <c r="E11" s="490"/>
      <c r="F11" s="490"/>
      <c r="G11" s="490"/>
      <c r="H11" s="490"/>
      <c r="I11" s="491"/>
    </row>
    <row r="12" spans="1:9" ht="43.5" customHeight="1" thickBot="1">
      <c r="A12" s="102" t="s">
        <v>107</v>
      </c>
      <c r="B12" s="489" t="s">
        <v>232</v>
      </c>
      <c r="C12" s="490"/>
      <c r="D12" s="490"/>
      <c r="E12" s="490"/>
      <c r="F12" s="490"/>
      <c r="G12" s="490"/>
      <c r="H12" s="490"/>
      <c r="I12" s="491"/>
    </row>
    <row r="13" spans="1:9">
      <c r="A13" s="138"/>
      <c r="B13" s="104"/>
      <c r="C13" s="104"/>
      <c r="D13" s="104"/>
      <c r="E13" s="104"/>
      <c r="F13" s="104"/>
      <c r="G13" s="104"/>
      <c r="H13" s="104"/>
      <c r="I13" s="138"/>
    </row>
    <row r="14" spans="1:9">
      <c r="B14" s="63" t="s">
        <v>182</v>
      </c>
    </row>
    <row r="15" spans="1:9">
      <c r="A15" s="67"/>
      <c r="B15" s="90"/>
      <c r="C15" s="90"/>
      <c r="D15" s="90"/>
      <c r="E15" s="90"/>
      <c r="F15" s="90"/>
      <c r="G15" s="90"/>
      <c r="H15" s="90"/>
      <c r="I15" s="82"/>
    </row>
    <row r="16" spans="1:9" s="77" customFormat="1" ht="25.5">
      <c r="A16" s="84"/>
      <c r="B16" s="122" t="s">
        <v>183</v>
      </c>
      <c r="C16" s="122" t="s">
        <v>184</v>
      </c>
      <c r="D16" s="122" t="s">
        <v>185</v>
      </c>
      <c r="E16" s="122" t="s">
        <v>186</v>
      </c>
      <c r="F16" s="122" t="s">
        <v>187</v>
      </c>
      <c r="G16" s="122" t="s">
        <v>188</v>
      </c>
      <c r="H16" s="122" t="s">
        <v>189</v>
      </c>
    </row>
    <row r="17" spans="1:8">
      <c r="A17" s="140"/>
      <c r="B17" s="142">
        <v>0.20833333333333334</v>
      </c>
      <c r="C17" s="363">
        <v>3192</v>
      </c>
      <c r="D17" s="363">
        <v>5787.13</v>
      </c>
      <c r="E17" s="363">
        <v>132.047875</v>
      </c>
      <c r="F17" s="363">
        <v>43.83</v>
      </c>
      <c r="G17" s="363">
        <v>9.030702777777778</v>
      </c>
      <c r="H17" s="364">
        <v>2.8277777777777776E-3</v>
      </c>
    </row>
    <row r="18" spans="1:8">
      <c r="A18" s="67"/>
      <c r="B18" s="142">
        <v>0.25</v>
      </c>
      <c r="C18" s="363">
        <v>3919</v>
      </c>
      <c r="D18" s="363">
        <v>5934.65</v>
      </c>
      <c r="E18" s="363">
        <v>152.73371111111112</v>
      </c>
      <c r="F18" s="363">
        <v>38.86</v>
      </c>
      <c r="G18" s="363">
        <v>14.953566666666665</v>
      </c>
      <c r="H18" s="364">
        <v>3.8166666666666666E-3</v>
      </c>
    </row>
    <row r="19" spans="1:8">
      <c r="A19" s="67"/>
      <c r="B19" s="142">
        <v>0.29166666666666702</v>
      </c>
      <c r="C19" s="363">
        <v>4185</v>
      </c>
      <c r="D19" s="363">
        <v>6172.04</v>
      </c>
      <c r="E19" s="363">
        <v>161.47611111111112</v>
      </c>
      <c r="F19" s="363">
        <v>38.22</v>
      </c>
      <c r="G19" s="363">
        <v>17.762408333333333</v>
      </c>
      <c r="H19" s="364">
        <v>4.2444444444444439E-3</v>
      </c>
    </row>
    <row r="20" spans="1:8">
      <c r="A20" s="141"/>
      <c r="B20" s="142">
        <v>0.33333333333333298</v>
      </c>
      <c r="C20" s="363">
        <v>4470</v>
      </c>
      <c r="D20" s="363">
        <v>5957</v>
      </c>
      <c r="E20" s="363">
        <v>172.44160277777777</v>
      </c>
      <c r="F20" s="363">
        <v>34.549999999999997</v>
      </c>
      <c r="G20" s="363">
        <v>25.382702777777777</v>
      </c>
      <c r="H20" s="364">
        <v>5.6777777777777781E-3</v>
      </c>
    </row>
    <row r="21" spans="1:8">
      <c r="A21" s="67"/>
      <c r="B21" s="142">
        <v>0.375</v>
      </c>
      <c r="C21" s="363">
        <v>3004</v>
      </c>
      <c r="D21" s="363">
        <v>3830.69</v>
      </c>
      <c r="E21" s="363">
        <v>115.80075833333333</v>
      </c>
      <c r="F21" s="363">
        <v>33.08</v>
      </c>
      <c r="G21" s="363">
        <v>16.584916666666665</v>
      </c>
      <c r="H21" s="364">
        <v>5.5194444444444449E-3</v>
      </c>
    </row>
    <row r="22" spans="1:8">
      <c r="A22" s="67"/>
      <c r="B22" s="142">
        <v>0.41666666666666702</v>
      </c>
      <c r="C22" s="363">
        <v>2912</v>
      </c>
      <c r="D22" s="363">
        <v>3411.92</v>
      </c>
      <c r="E22" s="363">
        <v>109.13021666666667</v>
      </c>
      <c r="F22" s="363">
        <v>31.27</v>
      </c>
      <c r="G22" s="363">
        <v>16.901002777777776</v>
      </c>
      <c r="H22" s="364">
        <v>5.8027777777777782E-3</v>
      </c>
    </row>
    <row r="23" spans="1:8">
      <c r="A23" s="67"/>
      <c r="B23" s="142">
        <v>0.45833333333333298</v>
      </c>
      <c r="C23" s="363">
        <v>3509</v>
      </c>
      <c r="D23" s="363">
        <v>4021.41</v>
      </c>
      <c r="E23" s="363">
        <v>134.12453055555557</v>
      </c>
      <c r="F23" s="363">
        <v>29.99</v>
      </c>
      <c r="G23" s="363">
        <v>23.556138888888892</v>
      </c>
      <c r="H23" s="364">
        <v>6.7111111111111113E-3</v>
      </c>
    </row>
    <row r="24" spans="1:8">
      <c r="A24" s="67"/>
      <c r="B24" s="142">
        <v>0.5</v>
      </c>
      <c r="C24" s="363">
        <v>5190</v>
      </c>
      <c r="D24" s="363">
        <v>6214.44</v>
      </c>
      <c r="E24" s="363">
        <v>209.11870833333333</v>
      </c>
      <c r="F24" s="363">
        <v>29.72</v>
      </c>
      <c r="G24" s="363">
        <v>42.413333333333334</v>
      </c>
      <c r="H24" s="364">
        <v>8.1722222222222231E-3</v>
      </c>
    </row>
    <row r="25" spans="1:8">
      <c r="A25" s="67"/>
      <c r="B25" s="142">
        <v>0.54166666666666696</v>
      </c>
      <c r="C25" s="363">
        <v>4893</v>
      </c>
      <c r="D25" s="363">
        <v>5953.91</v>
      </c>
      <c r="E25" s="363">
        <v>193.09484444444442</v>
      </c>
      <c r="F25" s="363">
        <v>30.84</v>
      </c>
      <c r="G25" s="363">
        <v>35.487713888888891</v>
      </c>
      <c r="H25" s="364">
        <v>7.2500000000000004E-3</v>
      </c>
    </row>
    <row r="26" spans="1:8">
      <c r="A26" s="67"/>
      <c r="B26" s="142">
        <v>0.58333333333333304</v>
      </c>
      <c r="C26" s="363">
        <v>7193</v>
      </c>
      <c r="D26" s="363">
        <v>9417.7900000000009</v>
      </c>
      <c r="E26" s="363">
        <v>297.88069999999999</v>
      </c>
      <c r="F26" s="363">
        <v>31.7</v>
      </c>
      <c r="G26" s="363">
        <v>66.144075000000001</v>
      </c>
      <c r="H26" s="364">
        <v>9.1999999999999998E-3</v>
      </c>
    </row>
    <row r="27" spans="1:8">
      <c r="A27" s="67"/>
      <c r="B27" s="142">
        <v>0.625</v>
      </c>
      <c r="C27" s="363">
        <v>7394</v>
      </c>
      <c r="D27" s="363">
        <v>9141.5300000000007</v>
      </c>
      <c r="E27" s="363">
        <v>328.90608055555555</v>
      </c>
      <c r="F27" s="363">
        <v>28.13</v>
      </c>
      <c r="G27" s="363">
        <v>98.363074999999995</v>
      </c>
      <c r="H27" s="364">
        <v>1.3347222222222222E-2</v>
      </c>
    </row>
    <row r="28" spans="1:8">
      <c r="A28" s="67"/>
      <c r="B28" s="142">
        <v>0.66666666666666696</v>
      </c>
      <c r="C28" s="363">
        <v>5617</v>
      </c>
      <c r="D28" s="363">
        <v>6662.86</v>
      </c>
      <c r="E28" s="363">
        <v>220.0318972222222</v>
      </c>
      <c r="F28" s="363">
        <v>30.33</v>
      </c>
      <c r="G28" s="363">
        <v>48.775727777777774</v>
      </c>
      <c r="H28" s="364">
        <v>8.6666666666666663E-3</v>
      </c>
    </row>
    <row r="29" spans="1:8">
      <c r="A29" s="67"/>
      <c r="B29" s="142">
        <v>0.70833333333333304</v>
      </c>
      <c r="C29" s="363">
        <v>4957</v>
      </c>
      <c r="D29" s="363">
        <v>5750.63</v>
      </c>
      <c r="E29" s="363">
        <v>186.50660555555555</v>
      </c>
      <c r="F29" s="363">
        <v>30.84</v>
      </c>
      <c r="G29" s="363">
        <v>35.427830555555559</v>
      </c>
      <c r="H29" s="364">
        <v>7.1472222222222223E-3</v>
      </c>
    </row>
    <row r="30" spans="1:8">
      <c r="A30" s="67"/>
      <c r="B30" s="142">
        <v>0.75</v>
      </c>
      <c r="C30" s="363">
        <v>3408</v>
      </c>
      <c r="D30" s="363">
        <v>3822.53</v>
      </c>
      <c r="E30" s="363">
        <v>126.67329444444444</v>
      </c>
      <c r="F30" s="363">
        <v>30.18</v>
      </c>
      <c r="G30" s="363">
        <v>21.855777777777778</v>
      </c>
      <c r="H30" s="364">
        <v>6.4111111111111105E-3</v>
      </c>
    </row>
    <row r="31" spans="1:8">
      <c r="A31" s="67"/>
      <c r="B31" s="142">
        <v>0.79166666666666663</v>
      </c>
      <c r="C31" s="363">
        <v>2392</v>
      </c>
      <c r="D31" s="363">
        <v>2713.71</v>
      </c>
      <c r="E31" s="363">
        <v>86.582886111111108</v>
      </c>
      <c r="F31" s="363">
        <v>31.35</v>
      </c>
      <c r="G31" s="363">
        <v>12.335238888888888</v>
      </c>
      <c r="H31" s="364">
        <v>5.1555555555555556E-3</v>
      </c>
    </row>
    <row r="32" spans="1:8">
      <c r="A32" s="67"/>
      <c r="B32" s="130" t="s">
        <v>28</v>
      </c>
      <c r="C32" s="147">
        <f>SUBTOTAL(109,Table3B.1_22TTS98[Total Vehicles in Network])</f>
        <v>66235</v>
      </c>
      <c r="D32" s="147">
        <f>SUBTOTAL(109,Table3B.1_22TTS98[VMT: Total Path Distance (mi)])</f>
        <v>84792.24000000002</v>
      </c>
      <c r="E32" s="147">
        <f>SUBTOTAL(109,Table3B.1_22TTS98[VHT: Total Time in Network (hr)])</f>
        <v>2626.5498222222218</v>
      </c>
      <c r="F32" s="147">
        <f>SUBTOTAL(101,Table3B.1_22TTS98[Average Speed (mph)])</f>
        <v>32.859333333333332</v>
      </c>
      <c r="G32" s="147">
        <f>SUBTOTAL(109,Table3B.1_22TTS98[Total Delay (hr)])</f>
        <v>484.97421111111112</v>
      </c>
      <c r="H32" s="147">
        <f>SUBTOTAL(101,Table3B.1_22TTS98[Average Delay (hr/veh)])</f>
        <v>6.6633333333333345E-3</v>
      </c>
    </row>
    <row r="33" spans="1:9">
      <c r="A33" s="67"/>
      <c r="B33" s="130"/>
      <c r="C33" s="147"/>
      <c r="D33" s="147"/>
      <c r="E33" s="147"/>
      <c r="F33" s="147"/>
      <c r="G33" s="147"/>
      <c r="H33" s="147"/>
    </row>
    <row r="34" spans="1:9">
      <c r="A34" s="67"/>
      <c r="B34" s="121" t="s">
        <v>190</v>
      </c>
      <c r="C34" s="89"/>
      <c r="D34" s="89"/>
      <c r="E34" s="89"/>
      <c r="F34" s="89"/>
      <c r="G34" s="89"/>
      <c r="H34" s="89"/>
    </row>
    <row r="35" spans="1:9">
      <c r="A35" s="67"/>
      <c r="B35" s="459"/>
      <c r="C35" s="459"/>
      <c r="D35" s="459"/>
      <c r="E35" s="459"/>
      <c r="F35" s="459"/>
      <c r="G35" s="459"/>
      <c r="H35" s="459"/>
    </row>
    <row r="36" spans="1:9" s="77" customFormat="1" ht="25.5">
      <c r="A36" s="84"/>
      <c r="B36" s="122" t="s">
        <v>183</v>
      </c>
      <c r="C36" s="122" t="s">
        <v>191</v>
      </c>
      <c r="D36" s="84" t="s">
        <v>192</v>
      </c>
      <c r="E36" s="122" t="s">
        <v>193</v>
      </c>
      <c r="F36" s="122" t="s">
        <v>194</v>
      </c>
      <c r="G36" s="122" t="s">
        <v>195</v>
      </c>
      <c r="H36" s="122" t="s">
        <v>196</v>
      </c>
    </row>
    <row r="37" spans="1:9">
      <c r="A37" s="67"/>
      <c r="B37" s="142">
        <v>0.20833333333333334</v>
      </c>
      <c r="C37" s="156">
        <v>0.94</v>
      </c>
      <c r="D37" s="156">
        <v>0.06</v>
      </c>
      <c r="E37" s="426">
        <f>C17*Table3B.2_22Delay99[[#This Row],[Car Traffic Share]]</f>
        <v>3000.48</v>
      </c>
      <c r="F37" s="155">
        <f>H17*Table3B.2_22Delay99[[#This Row],[Car Traffic]]</f>
        <v>8.4846906666666655</v>
      </c>
      <c r="G37" s="154">
        <f>C17*Table3B.2_22Delay99[[#This Row],[Truck Traffic Share]]</f>
        <v>191.51999999999998</v>
      </c>
      <c r="H37" s="155">
        <f>H17*Table3B.2_22Delay99[[#This Row],[Truck Traffic]]</f>
        <v>0.54157599999999995</v>
      </c>
      <c r="I37" s="76"/>
    </row>
    <row r="38" spans="1:9">
      <c r="A38" s="67"/>
      <c r="B38" s="142">
        <v>0.25</v>
      </c>
      <c r="C38" s="156">
        <v>0.94</v>
      </c>
      <c r="D38" s="156">
        <v>0.06</v>
      </c>
      <c r="E38" s="426">
        <f>C18*Table3B.2_22Delay99[[#This Row],[Car Traffic Share]]</f>
        <v>3683.8599999999997</v>
      </c>
      <c r="F38" s="155">
        <f>H18*Table3B.2_22Delay99[[#This Row],[Car Traffic]]</f>
        <v>14.060065666666665</v>
      </c>
      <c r="G38" s="154">
        <f>C18*Table3B.2_22Delay99[[#This Row],[Truck Traffic Share]]</f>
        <v>235.14</v>
      </c>
      <c r="H38" s="155">
        <f>H18*Table3B.2_22Delay99[[#This Row],[Truck Traffic]]</f>
        <v>0.89745099999999989</v>
      </c>
    </row>
    <row r="39" spans="1:9">
      <c r="A39" s="67"/>
      <c r="B39" s="142">
        <v>0.29166666666666702</v>
      </c>
      <c r="C39" s="156">
        <v>0.94</v>
      </c>
      <c r="D39" s="156">
        <v>0.06</v>
      </c>
      <c r="E39" s="426">
        <f>C19*Table3B.2_22Delay99[[#This Row],[Car Traffic Share]]</f>
        <v>3933.8999999999996</v>
      </c>
      <c r="F39" s="155">
        <f>H19*Table3B.2_22Delay99[[#This Row],[Car Traffic]]</f>
        <v>16.697219999999998</v>
      </c>
      <c r="G39" s="154">
        <f>C19*Table3B.2_22Delay99[[#This Row],[Truck Traffic Share]]</f>
        <v>251.1</v>
      </c>
      <c r="H39" s="155">
        <f>H19*Table3B.2_22Delay99[[#This Row],[Truck Traffic]]</f>
        <v>1.0657799999999999</v>
      </c>
    </row>
    <row r="40" spans="1:9">
      <c r="A40" s="67"/>
      <c r="B40" s="142">
        <v>0.33333333333333298</v>
      </c>
      <c r="C40" s="156">
        <v>0.94</v>
      </c>
      <c r="D40" s="156">
        <v>0.06</v>
      </c>
      <c r="E40" s="426">
        <f>C20*Table3B.2_22Delay99[[#This Row],[Car Traffic Share]]</f>
        <v>4201.8</v>
      </c>
      <c r="F40" s="155">
        <f>H20*Table3B.2_22Delay99[[#This Row],[Car Traffic]]</f>
        <v>23.856886666666668</v>
      </c>
      <c r="G40" s="154">
        <f>C20*Table3B.2_22Delay99[[#This Row],[Truck Traffic Share]]</f>
        <v>268.2</v>
      </c>
      <c r="H40" s="155">
        <f>H20*Table3B.2_22Delay99[[#This Row],[Truck Traffic]]</f>
        <v>1.52278</v>
      </c>
    </row>
    <row r="41" spans="1:9">
      <c r="A41" s="67"/>
      <c r="B41" s="142">
        <v>0.375</v>
      </c>
      <c r="C41" s="156">
        <v>0.94</v>
      </c>
      <c r="D41" s="156">
        <v>0.06</v>
      </c>
      <c r="E41" s="426">
        <f>C21*Table3B.2_22Delay99[[#This Row],[Car Traffic Share]]</f>
        <v>2823.7599999999998</v>
      </c>
      <c r="F41" s="155">
        <f>H21*Table3B.2_22Delay99[[#This Row],[Car Traffic]]</f>
        <v>15.585586444444445</v>
      </c>
      <c r="G41" s="154">
        <f>C21*Table3B.2_22Delay99[[#This Row],[Truck Traffic Share]]</f>
        <v>180.23999999999998</v>
      </c>
      <c r="H41" s="155">
        <f>H21*Table3B.2_22Delay99[[#This Row],[Truck Traffic]]</f>
        <v>0.99482466666666669</v>
      </c>
    </row>
    <row r="42" spans="1:9">
      <c r="A42" s="67"/>
      <c r="B42" s="142">
        <v>0.41666666666666702</v>
      </c>
      <c r="C42" s="156">
        <v>0.94</v>
      </c>
      <c r="D42" s="156">
        <v>0.06</v>
      </c>
      <c r="E42" s="426">
        <f>C22*Table3B.2_22Delay99[[#This Row],[Car Traffic Share]]</f>
        <v>2737.2799999999997</v>
      </c>
      <c r="F42" s="155">
        <f>H22*Table3B.2_22Delay99[[#This Row],[Car Traffic]]</f>
        <v>15.883827555555555</v>
      </c>
      <c r="G42" s="154">
        <f>C22*Table3B.2_22Delay99[[#This Row],[Truck Traffic Share]]</f>
        <v>174.72</v>
      </c>
      <c r="H42" s="155">
        <f>H22*Table3B.2_22Delay99[[#This Row],[Truck Traffic]]</f>
        <v>1.0138613333333335</v>
      </c>
    </row>
    <row r="43" spans="1:9">
      <c r="A43" s="67"/>
      <c r="B43" s="142">
        <v>0.45833333333333298</v>
      </c>
      <c r="C43" s="156">
        <v>0.94</v>
      </c>
      <c r="D43" s="156">
        <v>0.06</v>
      </c>
      <c r="E43" s="426">
        <f>C23*Table3B.2_22Delay99[[#This Row],[Car Traffic Share]]</f>
        <v>3298.46</v>
      </c>
      <c r="F43" s="155">
        <f>H23*Table3B.2_22Delay99[[#This Row],[Car Traffic]]</f>
        <v>22.136331555555557</v>
      </c>
      <c r="G43" s="154">
        <f>C23*Table3B.2_22Delay99[[#This Row],[Truck Traffic Share]]</f>
        <v>210.54</v>
      </c>
      <c r="H43" s="155">
        <f>H23*Table3B.2_22Delay99[[#This Row],[Truck Traffic]]</f>
        <v>1.4129573333333334</v>
      </c>
    </row>
    <row r="44" spans="1:9">
      <c r="A44" s="67"/>
      <c r="B44" s="142">
        <v>0.5</v>
      </c>
      <c r="C44" s="156">
        <v>0.94</v>
      </c>
      <c r="D44" s="156">
        <v>0.06</v>
      </c>
      <c r="E44" s="426">
        <f>C24*Table3B.2_22Delay99[[#This Row],[Car Traffic Share]]</f>
        <v>4878.5999999999995</v>
      </c>
      <c r="F44" s="155">
        <f>H24*Table3B.2_22Delay99[[#This Row],[Car Traffic]]</f>
        <v>39.869003333333332</v>
      </c>
      <c r="G44" s="154">
        <f>C24*Table3B.2_22Delay99[[#This Row],[Truck Traffic Share]]</f>
        <v>311.39999999999998</v>
      </c>
      <c r="H44" s="155">
        <f>H24*Table3B.2_22Delay99[[#This Row],[Truck Traffic]]</f>
        <v>2.5448300000000001</v>
      </c>
    </row>
    <row r="45" spans="1:9">
      <c r="A45" s="67"/>
      <c r="B45" s="142">
        <v>0.54166666666666696</v>
      </c>
      <c r="C45" s="156">
        <v>0.94</v>
      </c>
      <c r="D45" s="156">
        <v>0.06</v>
      </c>
      <c r="E45" s="426">
        <f>C25*Table3B.2_22Delay99[[#This Row],[Car Traffic Share]]</f>
        <v>4599.42</v>
      </c>
      <c r="F45" s="155">
        <f>H25*Table3B.2_22Delay99[[#This Row],[Car Traffic]]</f>
        <v>33.345795000000003</v>
      </c>
      <c r="G45" s="154">
        <f>C25*Table3B.2_22Delay99[[#This Row],[Truck Traffic Share]]</f>
        <v>293.58</v>
      </c>
      <c r="H45" s="155">
        <f>H25*Table3B.2_22Delay99[[#This Row],[Truck Traffic]]</f>
        <v>2.1284550000000002</v>
      </c>
    </row>
    <row r="46" spans="1:9">
      <c r="A46" s="67"/>
      <c r="B46" s="142">
        <v>0.58333333333333304</v>
      </c>
      <c r="C46" s="156">
        <v>0.94</v>
      </c>
      <c r="D46" s="156">
        <v>0.06</v>
      </c>
      <c r="E46" s="426">
        <f>C26*Table3B.2_22Delay99[[#This Row],[Car Traffic Share]]</f>
        <v>6761.4199999999992</v>
      </c>
      <c r="F46" s="155">
        <f>H26*Table3B.2_22Delay99[[#This Row],[Car Traffic]]</f>
        <v>62.205063999999993</v>
      </c>
      <c r="G46" s="154">
        <f>C26*Table3B.2_22Delay99[[#This Row],[Truck Traffic Share]]</f>
        <v>431.58</v>
      </c>
      <c r="H46" s="155">
        <f>H26*Table3B.2_22Delay99[[#This Row],[Truck Traffic]]</f>
        <v>3.9705359999999996</v>
      </c>
    </row>
    <row r="47" spans="1:9">
      <c r="A47" s="67"/>
      <c r="B47" s="142">
        <v>0.625</v>
      </c>
      <c r="C47" s="156">
        <v>0.94</v>
      </c>
      <c r="D47" s="156">
        <v>0.06</v>
      </c>
      <c r="E47" s="426">
        <f>C27*Table3B.2_22Delay99[[#This Row],[Car Traffic Share]]</f>
        <v>6950.36</v>
      </c>
      <c r="F47" s="155">
        <f>H27*Table3B.2_22Delay99[[#This Row],[Car Traffic]]</f>
        <v>92.767999444444442</v>
      </c>
      <c r="G47" s="154">
        <f>C27*Table3B.2_22Delay99[[#This Row],[Truck Traffic Share]]</f>
        <v>443.64</v>
      </c>
      <c r="H47" s="155">
        <f>H27*Table3B.2_22Delay99[[#This Row],[Truck Traffic]]</f>
        <v>5.9213616666666669</v>
      </c>
    </row>
    <row r="48" spans="1:9">
      <c r="A48" s="67"/>
      <c r="B48" s="142">
        <v>0.66666666666666696</v>
      </c>
      <c r="C48" s="156">
        <v>0.94</v>
      </c>
      <c r="D48" s="156">
        <v>0.06</v>
      </c>
      <c r="E48" s="426">
        <f>C28*Table3B.2_22Delay99[[#This Row],[Car Traffic Share]]</f>
        <v>5279.98</v>
      </c>
      <c r="F48" s="155">
        <f>H28*Table3B.2_22Delay99[[#This Row],[Car Traffic]]</f>
        <v>45.759826666666662</v>
      </c>
      <c r="G48" s="154">
        <f>C28*Table3B.2_22Delay99[[#This Row],[Truck Traffic Share]]</f>
        <v>337.02</v>
      </c>
      <c r="H48" s="155">
        <f>H28*Table3B.2_22Delay99[[#This Row],[Truck Traffic]]</f>
        <v>2.9208399999999997</v>
      </c>
    </row>
    <row r="49" spans="1:9">
      <c r="A49" s="67"/>
      <c r="B49" s="142">
        <v>0.70833333333333304</v>
      </c>
      <c r="C49" s="156">
        <v>0.94</v>
      </c>
      <c r="D49" s="156">
        <v>0.06</v>
      </c>
      <c r="E49" s="426">
        <f>C29*Table3B.2_22Delay99[[#This Row],[Car Traffic Share]]</f>
        <v>4659.58</v>
      </c>
      <c r="F49" s="155">
        <f>H29*Table3B.2_22Delay99[[#This Row],[Car Traffic]]</f>
        <v>33.303053722222224</v>
      </c>
      <c r="G49" s="154">
        <f>C29*Table3B.2_22Delay99[[#This Row],[Truck Traffic Share]]</f>
        <v>297.42</v>
      </c>
      <c r="H49" s="155">
        <f>H29*Table3B.2_22Delay99[[#This Row],[Truck Traffic]]</f>
        <v>2.1257268333333337</v>
      </c>
    </row>
    <row r="50" spans="1:9">
      <c r="A50" s="67"/>
      <c r="B50" s="142">
        <v>0.75</v>
      </c>
      <c r="C50" s="156">
        <v>0.94</v>
      </c>
      <c r="D50" s="156">
        <v>0.06</v>
      </c>
      <c r="E50" s="426">
        <f>C30*Table3B.2_22Delay99[[#This Row],[Car Traffic Share]]</f>
        <v>3203.52</v>
      </c>
      <c r="F50" s="155">
        <f>H30*Table3B.2_22Delay99[[#This Row],[Car Traffic]]</f>
        <v>20.538122666666666</v>
      </c>
      <c r="G50" s="154">
        <f>C30*Table3B.2_22Delay99[[#This Row],[Truck Traffic Share]]</f>
        <v>204.48</v>
      </c>
      <c r="H50" s="155">
        <f>H30*Table3B.2_22Delay99[[#This Row],[Truck Traffic]]</f>
        <v>1.3109439999999999</v>
      </c>
    </row>
    <row r="51" spans="1:9" ht="13.5" thickBot="1">
      <c r="A51" s="67"/>
      <c r="B51" s="142">
        <v>0.79166666666666663</v>
      </c>
      <c r="C51" s="158">
        <v>0.94</v>
      </c>
      <c r="D51" s="158">
        <v>0.06</v>
      </c>
      <c r="E51" s="425">
        <f>C31*Table3B.2_22Delay99[[#This Row],[Car Traffic Share]]</f>
        <v>2248.48</v>
      </c>
      <c r="F51" s="160">
        <f>H31*Table3B.2_22Delay99[[#This Row],[Car Traffic]]</f>
        <v>11.592163555555556</v>
      </c>
      <c r="G51" s="159">
        <f>C31*Table3B.2_22Delay99[[#This Row],[Truck Traffic Share]]</f>
        <v>143.51999999999998</v>
      </c>
      <c r="H51" s="160">
        <f>H31*Table3B.2_22Delay99[[#This Row],[Truck Traffic]]</f>
        <v>0.73992533333333321</v>
      </c>
    </row>
    <row r="52" spans="1:9" ht="13.5" thickTop="1">
      <c r="A52" s="67"/>
      <c r="B52" s="90" t="s">
        <v>28</v>
      </c>
      <c r="C52" s="81"/>
      <c r="D52" s="81"/>
      <c r="E52" s="153">
        <f>SUBTOTAL(109,Table3B.2_22Delay99[Car Traffic])</f>
        <v>62260.899999999994</v>
      </c>
      <c r="F52" s="153">
        <f>SUBTOTAL(109,Table3B.2_22Delay99[Car Delay 
(hrs)])</f>
        <v>456.08563694444439</v>
      </c>
      <c r="G52" s="153">
        <f>SUBTOTAL(109,Table3B.2_22Delay99[Truck Traffic])</f>
        <v>3974.1</v>
      </c>
      <c r="H52" s="153">
        <f>SUBTOTAL(109,Table3B.2_22Delay99[Truck Delay (hrs)])</f>
        <v>29.111849166666666</v>
      </c>
    </row>
    <row r="53" spans="1:9">
      <c r="A53" s="67"/>
      <c r="C53" s="69"/>
      <c r="D53" s="130"/>
      <c r="E53" s="141"/>
      <c r="F53" s="429"/>
      <c r="G53" s="141"/>
      <c r="H53" s="429"/>
    </row>
    <row r="54" spans="1:9">
      <c r="A54" s="67"/>
      <c r="B54" s="63" t="s">
        <v>197</v>
      </c>
      <c r="I54" s="92"/>
    </row>
    <row r="55" spans="1:9">
      <c r="A55" s="67"/>
      <c r="B55" s="459"/>
      <c r="C55" s="459"/>
      <c r="D55" s="459"/>
      <c r="E55" s="459"/>
      <c r="F55" s="459"/>
      <c r="G55" s="459"/>
      <c r="H55" s="459"/>
    </row>
    <row r="56" spans="1:9" ht="25.5">
      <c r="A56" s="67"/>
      <c r="B56" s="122" t="s">
        <v>183</v>
      </c>
      <c r="C56" s="122" t="s">
        <v>184</v>
      </c>
      <c r="D56" s="122" t="s">
        <v>185</v>
      </c>
      <c r="E56" s="122" t="s">
        <v>186</v>
      </c>
      <c r="F56" s="122" t="s">
        <v>187</v>
      </c>
      <c r="G56" s="122" t="s">
        <v>188</v>
      </c>
      <c r="H56" s="122" t="s">
        <v>189</v>
      </c>
    </row>
    <row r="57" spans="1:9">
      <c r="A57" s="67"/>
      <c r="B57" s="142">
        <v>0.20833333333333334</v>
      </c>
      <c r="C57" s="428">
        <v>3329</v>
      </c>
      <c r="D57" s="428">
        <v>6005.94</v>
      </c>
      <c r="E57" s="428">
        <v>137.55650833333334</v>
      </c>
      <c r="F57" s="428">
        <v>43.66</v>
      </c>
      <c r="G57" s="428">
        <v>9.505319444444444</v>
      </c>
      <c r="H57" s="427">
        <v>2.8555555555555552E-3</v>
      </c>
    </row>
    <row r="58" spans="1:9">
      <c r="A58" s="67"/>
      <c r="B58" s="142">
        <v>0.25</v>
      </c>
      <c r="C58" s="428">
        <v>4189</v>
      </c>
      <c r="D58" s="428">
        <v>6326.62</v>
      </c>
      <c r="E58" s="428">
        <v>163.44491111111114</v>
      </c>
      <c r="F58" s="428">
        <v>38.71</v>
      </c>
      <c r="G58" s="428">
        <v>16.267019444444443</v>
      </c>
      <c r="H58" s="427">
        <v>3.8833333333333333E-3</v>
      </c>
    </row>
    <row r="59" spans="1:9">
      <c r="A59" s="67"/>
      <c r="B59" s="142">
        <v>0.29166666666666702</v>
      </c>
      <c r="C59" s="428">
        <v>4440</v>
      </c>
      <c r="D59" s="428">
        <v>6543.97</v>
      </c>
      <c r="E59" s="428">
        <v>171.96851666666669</v>
      </c>
      <c r="F59" s="428">
        <v>38.049999999999997</v>
      </c>
      <c r="G59" s="428">
        <v>19.107908333333334</v>
      </c>
      <c r="H59" s="427">
        <v>4.3027777777777778E-3</v>
      </c>
    </row>
    <row r="60" spans="1:9">
      <c r="A60" s="67"/>
      <c r="B60" s="142">
        <v>0.33333333333333298</v>
      </c>
      <c r="C60" s="428">
        <v>4731</v>
      </c>
      <c r="D60" s="428">
        <v>6325.76</v>
      </c>
      <c r="E60" s="428">
        <v>183.62284166666666</v>
      </c>
      <c r="F60" s="428">
        <v>34.450000000000003</v>
      </c>
      <c r="G60" s="428">
        <v>27.133713888888888</v>
      </c>
      <c r="H60" s="427">
        <v>5.7333333333333333E-3</v>
      </c>
    </row>
    <row r="61" spans="1:9">
      <c r="A61" s="67"/>
      <c r="B61" s="142">
        <v>0.375</v>
      </c>
      <c r="C61" s="428">
        <v>3207</v>
      </c>
      <c r="D61" s="428">
        <v>4104.37</v>
      </c>
      <c r="E61" s="428">
        <v>123.9953</v>
      </c>
      <c r="F61" s="428">
        <v>33.1</v>
      </c>
      <c r="G61" s="428">
        <v>17.923102777777778</v>
      </c>
      <c r="H61" s="427">
        <v>5.5888888888888889E-3</v>
      </c>
    </row>
    <row r="62" spans="1:9">
      <c r="A62" s="67"/>
      <c r="B62" s="142">
        <v>0.41666666666666702</v>
      </c>
      <c r="C62" s="428">
        <v>3002</v>
      </c>
      <c r="D62" s="428">
        <v>3548.1</v>
      </c>
      <c r="E62" s="428">
        <v>113.43433888888889</v>
      </c>
      <c r="F62" s="428">
        <v>31.28</v>
      </c>
      <c r="G62" s="428">
        <v>17.440825</v>
      </c>
      <c r="H62" s="427">
        <v>5.8083333333333338E-3</v>
      </c>
    </row>
    <row r="63" spans="1:9">
      <c r="A63" s="67"/>
      <c r="B63" s="142">
        <v>0.45833333333333298</v>
      </c>
      <c r="C63" s="428">
        <v>3598</v>
      </c>
      <c r="D63" s="428">
        <v>4155.59</v>
      </c>
      <c r="E63" s="428">
        <v>138.57175277777779</v>
      </c>
      <c r="F63" s="428">
        <v>29.99</v>
      </c>
      <c r="G63" s="428">
        <v>24.315494444444443</v>
      </c>
      <c r="H63" s="427">
        <v>6.7583333333333332E-3</v>
      </c>
    </row>
    <row r="64" spans="1:9">
      <c r="A64" s="67"/>
      <c r="B64" s="142">
        <v>0.5</v>
      </c>
      <c r="C64" s="428">
        <v>5313</v>
      </c>
      <c r="D64" s="428">
        <v>6376.57</v>
      </c>
      <c r="E64" s="428">
        <v>216.34375555555556</v>
      </c>
      <c r="F64" s="428">
        <v>29.48</v>
      </c>
      <c r="G64" s="428">
        <v>44.932949999999998</v>
      </c>
      <c r="H64" s="427">
        <v>8.4583333333333333E-3</v>
      </c>
    </row>
    <row r="65" spans="1:8">
      <c r="A65" s="67"/>
      <c r="B65" s="142">
        <v>0.54166666666666696</v>
      </c>
      <c r="C65" s="428">
        <v>5019</v>
      </c>
      <c r="D65" s="428">
        <v>6111.54</v>
      </c>
      <c r="E65" s="428">
        <v>199.08002777777776</v>
      </c>
      <c r="F65" s="428">
        <v>30.7</v>
      </c>
      <c r="G65" s="428">
        <v>36.964177777777778</v>
      </c>
      <c r="H65" s="427">
        <v>7.3638888888888894E-3</v>
      </c>
    </row>
    <row r="66" spans="1:8">
      <c r="A66" s="67"/>
      <c r="B66" s="142">
        <v>0.58333333333333304</v>
      </c>
      <c r="C66" s="428">
        <v>7503</v>
      </c>
      <c r="D66" s="428">
        <v>9871.86</v>
      </c>
      <c r="E66" s="428">
        <v>314.80770277777776</v>
      </c>
      <c r="F66" s="428">
        <v>31.38</v>
      </c>
      <c r="G66" s="428">
        <v>72.413697222222225</v>
      </c>
      <c r="H66" s="427">
        <v>9.6500000000000006E-3</v>
      </c>
    </row>
    <row r="67" spans="1:8">
      <c r="A67" s="67"/>
      <c r="B67" s="142">
        <v>0.625</v>
      </c>
      <c r="C67" s="428">
        <v>7790</v>
      </c>
      <c r="D67" s="428">
        <v>9710.68</v>
      </c>
      <c r="E67" s="428">
        <v>396.37676944444445</v>
      </c>
      <c r="F67" s="428">
        <v>25.17</v>
      </c>
      <c r="G67" s="428">
        <v>154.38430277777778</v>
      </c>
      <c r="H67" s="427">
        <v>2.0113888888888889E-2</v>
      </c>
    </row>
    <row r="68" spans="1:8">
      <c r="A68" s="67"/>
      <c r="B68" s="142">
        <v>0.66666666666666696</v>
      </c>
      <c r="C68" s="428">
        <v>5735</v>
      </c>
      <c r="D68" s="428">
        <v>6768.27</v>
      </c>
      <c r="E68" s="428">
        <v>355.76016111111113</v>
      </c>
      <c r="F68" s="428">
        <v>23.96</v>
      </c>
      <c r="G68" s="428">
        <v>184.77199999999999</v>
      </c>
      <c r="H68" s="427">
        <v>3.9266666666666672E-2</v>
      </c>
    </row>
    <row r="69" spans="1:8">
      <c r="A69" s="67"/>
      <c r="B69" s="142">
        <v>0.70833333333333304</v>
      </c>
      <c r="C69" s="428">
        <v>4915</v>
      </c>
      <c r="D69" s="428">
        <v>5639.82</v>
      </c>
      <c r="E69" s="428">
        <v>392.17677499999996</v>
      </c>
      <c r="F69" s="428">
        <v>25.58</v>
      </c>
      <c r="G69" s="428">
        <v>248.88873888888887</v>
      </c>
      <c r="H69" s="427">
        <v>6.9088888888888894E-2</v>
      </c>
    </row>
    <row r="70" spans="1:8">
      <c r="A70" s="67"/>
      <c r="B70" s="142">
        <v>0.75</v>
      </c>
      <c r="C70" s="428">
        <v>3405</v>
      </c>
      <c r="D70" s="428">
        <v>3604.13</v>
      </c>
      <c r="E70" s="428">
        <v>372.85047777777777</v>
      </c>
      <c r="F70" s="428">
        <v>24.55</v>
      </c>
      <c r="G70" s="428">
        <v>276.67187222222219</v>
      </c>
      <c r="H70" s="427">
        <v>9.9616666666666673E-2</v>
      </c>
    </row>
    <row r="71" spans="1:8">
      <c r="A71" s="67"/>
      <c r="B71" s="142">
        <v>0.79166666666666663</v>
      </c>
      <c r="C71" s="428">
        <v>2484</v>
      </c>
      <c r="D71" s="428">
        <v>2537.36</v>
      </c>
      <c r="E71" s="428">
        <v>347.46331666666663</v>
      </c>
      <c r="F71" s="428">
        <v>25.51</v>
      </c>
      <c r="G71" s="428">
        <v>279.73905555555552</v>
      </c>
      <c r="H71" s="427">
        <v>0.11224166666666667</v>
      </c>
    </row>
    <row r="72" spans="1:8">
      <c r="A72" s="67"/>
      <c r="B72" s="130" t="s">
        <v>28</v>
      </c>
      <c r="C72" s="152">
        <f>SUBTOTAL(109,Table3B.3_27TTS_NB100[Total Vehicles in Network])</f>
        <v>68660</v>
      </c>
      <c r="D72" s="152">
        <f>SUBTOTAL(109,Table3B.3_27TTS_NB100[VMT: Total Path Distance (mi)])</f>
        <v>87630.58</v>
      </c>
      <c r="E72" s="152">
        <f>SUBTOTAL(109,Table3B.3_27TTS_NB100[VHT: Total Time in Network (hr)])</f>
        <v>3627.4531555555564</v>
      </c>
      <c r="F72" s="152">
        <f>SUBTOTAL(101,Table3B.3_27TTS_NB100[Average Speed (mph)])</f>
        <v>31.038</v>
      </c>
      <c r="G72" s="152">
        <f>SUBTOTAL(109,Table3B.3_27TTS_NB100[Total Delay (hr)])</f>
        <v>1430.4601777777777</v>
      </c>
      <c r="H72" s="152">
        <f>SUBTOTAL(101,Table3B.3_27TTS_NB100[Average Delay (hr/veh)])</f>
        <v>2.6715370370370372E-2</v>
      </c>
    </row>
    <row r="73" spans="1:8">
      <c r="A73" s="67"/>
    </row>
    <row r="74" spans="1:8">
      <c r="A74" s="67"/>
      <c r="B74" s="121" t="s">
        <v>198</v>
      </c>
      <c r="C74" s="89"/>
      <c r="D74" s="89"/>
      <c r="E74" s="89"/>
      <c r="F74" s="89"/>
      <c r="G74" s="89"/>
      <c r="H74" s="89"/>
    </row>
    <row r="75" spans="1:8" ht="12.75" customHeight="1">
      <c r="A75" s="67"/>
      <c r="B75" s="459"/>
      <c r="C75" s="459"/>
      <c r="D75" s="459"/>
      <c r="E75" s="459"/>
      <c r="F75" s="459"/>
      <c r="G75" s="459"/>
      <c r="H75" s="459"/>
    </row>
    <row r="76" spans="1:8" ht="25.5">
      <c r="A76" s="67"/>
      <c r="B76" s="122" t="s">
        <v>183</v>
      </c>
      <c r="C76" s="122" t="s">
        <v>191</v>
      </c>
      <c r="D76" s="84" t="s">
        <v>192</v>
      </c>
      <c r="E76" s="122" t="s">
        <v>193</v>
      </c>
      <c r="F76" s="122" t="s">
        <v>194</v>
      </c>
      <c r="G76" s="122" t="s">
        <v>195</v>
      </c>
      <c r="H76" s="122" t="s">
        <v>196</v>
      </c>
    </row>
    <row r="77" spans="1:8">
      <c r="A77" s="67"/>
      <c r="B77" s="142">
        <v>0.20833333333333334</v>
      </c>
      <c r="C77" s="156">
        <v>0.94</v>
      </c>
      <c r="D77" s="156">
        <v>0.06</v>
      </c>
      <c r="E77" s="426">
        <f>C57*Table3B.4_27Delay_NB102[[#This Row],[Car Traffic Share]]</f>
        <v>3129.2599999999998</v>
      </c>
      <c r="F77" s="155">
        <f>H57*Table3B.4_27Delay_NB102[[#This Row],[Car Traffic]]</f>
        <v>8.935775777777776</v>
      </c>
      <c r="G77" s="154">
        <f>C57*Table3B.4_27Delay_NB102[[#This Row],[Truck Traffic Share]]</f>
        <v>199.73999999999998</v>
      </c>
      <c r="H77" s="155">
        <f>H57*Table3B.4_27Delay_NB102[[#This Row],[Truck Traffic]]</f>
        <v>0.57036866666666652</v>
      </c>
    </row>
    <row r="78" spans="1:8">
      <c r="A78" s="67"/>
      <c r="B78" s="142">
        <v>0.25</v>
      </c>
      <c r="C78" s="156">
        <v>0.94</v>
      </c>
      <c r="D78" s="156">
        <v>0.06</v>
      </c>
      <c r="E78" s="426">
        <f>C58*Table3B.4_27Delay_NB102[[#This Row],[Car Traffic Share]]</f>
        <v>3937.66</v>
      </c>
      <c r="F78" s="155">
        <f>H58*Table3B.4_27Delay_NB102[[#This Row],[Car Traffic]]</f>
        <v>15.291246333333332</v>
      </c>
      <c r="G78" s="154">
        <f>C58*Table3B.4_27Delay_NB102[[#This Row],[Truck Traffic Share]]</f>
        <v>251.34</v>
      </c>
      <c r="H78" s="155">
        <f>H58*Table3B.4_27Delay_NB102[[#This Row],[Truck Traffic]]</f>
        <v>0.97603700000000004</v>
      </c>
    </row>
    <row r="79" spans="1:8">
      <c r="A79" s="67"/>
      <c r="B79" s="142">
        <v>0.29166666666666702</v>
      </c>
      <c r="C79" s="156">
        <v>0.94</v>
      </c>
      <c r="D79" s="156">
        <v>0.06</v>
      </c>
      <c r="E79" s="426">
        <f>C59*Table3B.4_27Delay_NB102[[#This Row],[Car Traffic Share]]</f>
        <v>4173.5999999999995</v>
      </c>
      <c r="F79" s="155">
        <f>H59*Table3B.4_27Delay_NB102[[#This Row],[Car Traffic]]</f>
        <v>17.958073333333331</v>
      </c>
      <c r="G79" s="154">
        <f>C59*Table3B.4_27Delay_NB102[[#This Row],[Truck Traffic Share]]</f>
        <v>266.39999999999998</v>
      </c>
      <c r="H79" s="155">
        <f>H59*Table3B.4_27Delay_NB102[[#This Row],[Truck Traffic]]</f>
        <v>1.1462599999999998</v>
      </c>
    </row>
    <row r="80" spans="1:8">
      <c r="A80" s="67"/>
      <c r="B80" s="142">
        <v>0.33333333333333298</v>
      </c>
      <c r="C80" s="156">
        <v>0.94</v>
      </c>
      <c r="D80" s="156">
        <v>0.06</v>
      </c>
      <c r="E80" s="426">
        <f>C60*Table3B.4_27Delay_NB102[[#This Row],[Car Traffic Share]]</f>
        <v>4447.1399999999994</v>
      </c>
      <c r="F80" s="155">
        <f>H60*Table3B.4_27Delay_NB102[[#This Row],[Car Traffic]]</f>
        <v>25.496935999999998</v>
      </c>
      <c r="G80" s="154">
        <f>C60*Table3B.4_27Delay_NB102[[#This Row],[Truck Traffic Share]]</f>
        <v>283.86</v>
      </c>
      <c r="H80" s="155">
        <f>H60*Table3B.4_27Delay_NB102[[#This Row],[Truck Traffic]]</f>
        <v>1.627464</v>
      </c>
    </row>
    <row r="81" spans="1:8">
      <c r="A81" s="67"/>
      <c r="B81" s="142">
        <v>0.375</v>
      </c>
      <c r="C81" s="156">
        <v>0.94</v>
      </c>
      <c r="D81" s="156">
        <v>0.06</v>
      </c>
      <c r="E81" s="426">
        <f>C61*Table3B.4_27Delay_NB102[[#This Row],[Car Traffic Share]]</f>
        <v>3014.58</v>
      </c>
      <c r="F81" s="155">
        <f>H61*Table3B.4_27Delay_NB102[[#This Row],[Car Traffic]]</f>
        <v>16.848152666666667</v>
      </c>
      <c r="G81" s="154">
        <f>C61*Table3B.4_27Delay_NB102[[#This Row],[Truck Traffic Share]]</f>
        <v>192.42</v>
      </c>
      <c r="H81" s="155">
        <f>H61*Table3B.4_27Delay_NB102[[#This Row],[Truck Traffic]]</f>
        <v>1.0754139999999999</v>
      </c>
    </row>
    <row r="82" spans="1:8">
      <c r="A82" s="67"/>
      <c r="B82" s="142">
        <v>0.41666666666666702</v>
      </c>
      <c r="C82" s="156">
        <v>0.94</v>
      </c>
      <c r="D82" s="156">
        <v>0.06</v>
      </c>
      <c r="E82" s="426">
        <f>C62*Table3B.4_27Delay_NB102[[#This Row],[Car Traffic Share]]</f>
        <v>2821.8799999999997</v>
      </c>
      <c r="F82" s="155">
        <f>H62*Table3B.4_27Delay_NB102[[#This Row],[Car Traffic]]</f>
        <v>16.390419666666666</v>
      </c>
      <c r="G82" s="154">
        <f>C62*Table3B.4_27Delay_NB102[[#This Row],[Truck Traffic Share]]</f>
        <v>180.12</v>
      </c>
      <c r="H82" s="155">
        <f>H62*Table3B.4_27Delay_NB102[[#This Row],[Truck Traffic]]</f>
        <v>1.046197</v>
      </c>
    </row>
    <row r="83" spans="1:8">
      <c r="A83" s="67"/>
      <c r="B83" s="142">
        <v>0.45833333333333298</v>
      </c>
      <c r="C83" s="156">
        <v>0.94</v>
      </c>
      <c r="D83" s="156">
        <v>0.06</v>
      </c>
      <c r="E83" s="426">
        <f>C63*Table3B.4_27Delay_NB102[[#This Row],[Car Traffic Share]]</f>
        <v>3382.12</v>
      </c>
      <c r="F83" s="155">
        <f>H63*Table3B.4_27Delay_NB102[[#This Row],[Car Traffic]]</f>
        <v>22.857494333333332</v>
      </c>
      <c r="G83" s="154">
        <f>C63*Table3B.4_27Delay_NB102[[#This Row],[Truck Traffic Share]]</f>
        <v>215.88</v>
      </c>
      <c r="H83" s="155">
        <f>H63*Table3B.4_27Delay_NB102[[#This Row],[Truck Traffic]]</f>
        <v>1.4589889999999999</v>
      </c>
    </row>
    <row r="84" spans="1:8">
      <c r="A84" s="67"/>
      <c r="B84" s="142">
        <v>0.5</v>
      </c>
      <c r="C84" s="156">
        <v>0.94</v>
      </c>
      <c r="D84" s="156">
        <v>0.06</v>
      </c>
      <c r="E84" s="426">
        <f>C64*Table3B.4_27Delay_NB102[[#This Row],[Car Traffic Share]]</f>
        <v>4994.2199999999993</v>
      </c>
      <c r="F84" s="155">
        <f>H64*Table3B.4_27Delay_NB102[[#This Row],[Car Traffic]]</f>
        <v>42.242777499999995</v>
      </c>
      <c r="G84" s="154">
        <f>C64*Table3B.4_27Delay_NB102[[#This Row],[Truck Traffic Share]]</f>
        <v>318.77999999999997</v>
      </c>
      <c r="H84" s="155">
        <f>H64*Table3B.4_27Delay_NB102[[#This Row],[Truck Traffic]]</f>
        <v>2.6963474999999999</v>
      </c>
    </row>
    <row r="85" spans="1:8">
      <c r="A85" s="67"/>
      <c r="B85" s="142">
        <v>0.54166666666666696</v>
      </c>
      <c r="C85" s="156">
        <v>0.94</v>
      </c>
      <c r="D85" s="156">
        <v>0.06</v>
      </c>
      <c r="E85" s="426">
        <f>C65*Table3B.4_27Delay_NB102[[#This Row],[Car Traffic Share]]</f>
        <v>4717.8599999999997</v>
      </c>
      <c r="F85" s="155">
        <f>H65*Table3B.4_27Delay_NB102[[#This Row],[Car Traffic]]</f>
        <v>34.741796833333332</v>
      </c>
      <c r="G85" s="154">
        <f>C65*Table3B.4_27Delay_NB102[[#This Row],[Truck Traffic Share]]</f>
        <v>301.14</v>
      </c>
      <c r="H85" s="155">
        <f>H65*Table3B.4_27Delay_NB102[[#This Row],[Truck Traffic]]</f>
        <v>2.2175615</v>
      </c>
    </row>
    <row r="86" spans="1:8">
      <c r="A86" s="67"/>
      <c r="B86" s="142">
        <v>0.58333333333333304</v>
      </c>
      <c r="C86" s="156">
        <v>0.94</v>
      </c>
      <c r="D86" s="156">
        <v>0.06</v>
      </c>
      <c r="E86" s="426">
        <f>C66*Table3B.4_27Delay_NB102[[#This Row],[Car Traffic Share]]</f>
        <v>7052.82</v>
      </c>
      <c r="F86" s="155">
        <f>H66*Table3B.4_27Delay_NB102[[#This Row],[Car Traffic]]</f>
        <v>68.059713000000002</v>
      </c>
      <c r="G86" s="154">
        <f>C66*Table3B.4_27Delay_NB102[[#This Row],[Truck Traffic Share]]</f>
        <v>450.18</v>
      </c>
      <c r="H86" s="155">
        <f>H66*Table3B.4_27Delay_NB102[[#This Row],[Truck Traffic]]</f>
        <v>4.3442370000000006</v>
      </c>
    </row>
    <row r="87" spans="1:8">
      <c r="A87" s="67"/>
      <c r="B87" s="142">
        <v>0.625</v>
      </c>
      <c r="C87" s="156">
        <v>0.94</v>
      </c>
      <c r="D87" s="156">
        <v>0.06</v>
      </c>
      <c r="E87" s="426">
        <f>C67*Table3B.4_27Delay_NB102[[#This Row],[Car Traffic Share]]</f>
        <v>7322.5999999999995</v>
      </c>
      <c r="F87" s="155">
        <f>H67*Table3B.4_27Delay_NB102[[#This Row],[Car Traffic]]</f>
        <v>147.28596277777777</v>
      </c>
      <c r="G87" s="154">
        <f>C67*Table3B.4_27Delay_NB102[[#This Row],[Truck Traffic Share]]</f>
        <v>467.4</v>
      </c>
      <c r="H87" s="155">
        <f>H67*Table3B.4_27Delay_NB102[[#This Row],[Truck Traffic]]</f>
        <v>9.401231666666666</v>
      </c>
    </row>
    <row r="88" spans="1:8">
      <c r="A88" s="67"/>
      <c r="B88" s="142">
        <v>0.66666666666666696</v>
      </c>
      <c r="C88" s="156">
        <v>0.94</v>
      </c>
      <c r="D88" s="156">
        <v>0.06</v>
      </c>
      <c r="E88" s="426">
        <f>C68*Table3B.4_27Delay_NB102[[#This Row],[Car Traffic Share]]</f>
        <v>5390.9</v>
      </c>
      <c r="F88" s="155">
        <f>H68*Table3B.4_27Delay_NB102[[#This Row],[Car Traffic]]</f>
        <v>211.68267333333336</v>
      </c>
      <c r="G88" s="154">
        <f>C68*Table3B.4_27Delay_NB102[[#This Row],[Truck Traffic Share]]</f>
        <v>344.09999999999997</v>
      </c>
      <c r="H88" s="155">
        <f>H68*Table3B.4_27Delay_NB102[[#This Row],[Truck Traffic]]</f>
        <v>13.511660000000001</v>
      </c>
    </row>
    <row r="89" spans="1:8">
      <c r="A89" s="67"/>
      <c r="B89" s="142">
        <v>0.70833333333333304</v>
      </c>
      <c r="C89" s="156">
        <v>0.94</v>
      </c>
      <c r="D89" s="156">
        <v>0.06</v>
      </c>
      <c r="E89" s="426">
        <f>C69*Table3B.4_27Delay_NB102[[#This Row],[Car Traffic Share]]</f>
        <v>4620.0999999999995</v>
      </c>
      <c r="F89" s="155">
        <f>H69*Table3B.4_27Delay_NB102[[#This Row],[Car Traffic]]</f>
        <v>319.19757555555555</v>
      </c>
      <c r="G89" s="154">
        <f>C69*Table3B.4_27Delay_NB102[[#This Row],[Truck Traffic Share]]</f>
        <v>294.89999999999998</v>
      </c>
      <c r="H89" s="155">
        <f>H69*Table3B.4_27Delay_NB102[[#This Row],[Truck Traffic]]</f>
        <v>20.374313333333333</v>
      </c>
    </row>
    <row r="90" spans="1:8">
      <c r="A90" s="67"/>
      <c r="B90" s="142">
        <v>0.75</v>
      </c>
      <c r="C90" s="156">
        <v>0.94</v>
      </c>
      <c r="D90" s="156">
        <v>0.06</v>
      </c>
      <c r="E90" s="426">
        <f>C70*Table3B.4_27Delay_NB102[[#This Row],[Car Traffic Share]]</f>
        <v>3200.7</v>
      </c>
      <c r="F90" s="155">
        <f>H70*Table3B.4_27Delay_NB102[[#This Row],[Car Traffic]]</f>
        <v>318.84306500000002</v>
      </c>
      <c r="G90" s="154">
        <f>C70*Table3B.4_27Delay_NB102[[#This Row],[Truck Traffic Share]]</f>
        <v>204.29999999999998</v>
      </c>
      <c r="H90" s="155">
        <f>H70*Table3B.4_27Delay_NB102[[#This Row],[Truck Traffic]]</f>
        <v>20.351685</v>
      </c>
    </row>
    <row r="91" spans="1:8" ht="13.5" thickBot="1">
      <c r="A91" s="67"/>
      <c r="B91" s="142">
        <v>0.79166666666666663</v>
      </c>
      <c r="C91" s="158">
        <v>0.94</v>
      </c>
      <c r="D91" s="158">
        <v>0.06</v>
      </c>
      <c r="E91" s="425">
        <f>C71*Table3B.4_27Delay_NB102[[#This Row],[Car Traffic Share]]</f>
        <v>2334.96</v>
      </c>
      <c r="F91" s="160">
        <f>H71*Table3B.4_27Delay_NB102[[#This Row],[Car Traffic]]</f>
        <v>262.07980200000003</v>
      </c>
      <c r="G91" s="159">
        <f>C71*Table3B.4_27Delay_NB102[[#This Row],[Truck Traffic Share]]</f>
        <v>149.04</v>
      </c>
      <c r="H91" s="160">
        <f>H71*Table3B.4_27Delay_NB102[[#This Row],[Truck Traffic]]</f>
        <v>16.728497999999998</v>
      </c>
    </row>
    <row r="92" spans="1:8" ht="13.5" thickTop="1">
      <c r="A92" s="67"/>
      <c r="B92" s="90" t="s">
        <v>28</v>
      </c>
      <c r="C92" s="81"/>
      <c r="D92" s="81"/>
      <c r="E92" s="153">
        <f>SUBTOTAL(109,Table3B.4_27Delay_NB102[Car Traffic])</f>
        <v>64540.399999999994</v>
      </c>
      <c r="F92" s="153">
        <f>SUBTOTAL(109,Table3B.4_27Delay_NB102[Car Delay 
(hrs)])</f>
        <v>1527.9114641111112</v>
      </c>
      <c r="G92" s="153">
        <f>SUBTOTAL(109,Table3B.4_27Delay_NB102[Truck Traffic])</f>
        <v>4119.6000000000004</v>
      </c>
      <c r="H92" s="153">
        <f>SUBTOTAL(109,Table3B.4_27Delay_NB102[Truck Delay (hrs)])</f>
        <v>97.526263666666665</v>
      </c>
    </row>
    <row r="93" spans="1:8">
      <c r="A93" s="67"/>
      <c r="C93" s="91"/>
      <c r="D93" s="90"/>
      <c r="E93" s="143"/>
      <c r="F93" s="144"/>
      <c r="G93" s="144"/>
      <c r="H93" s="144"/>
    </row>
    <row r="94" spans="1:8">
      <c r="A94" s="67"/>
      <c r="B94" s="63" t="s">
        <v>199</v>
      </c>
    </row>
    <row r="95" spans="1:8">
      <c r="A95" s="67"/>
      <c r="B95" s="459"/>
      <c r="C95" s="459"/>
      <c r="D95" s="459"/>
      <c r="E95" s="459"/>
      <c r="F95" s="459"/>
      <c r="G95" s="459"/>
      <c r="H95" s="459"/>
    </row>
    <row r="96" spans="1:8" ht="38.25">
      <c r="A96" s="67"/>
      <c r="B96" s="122" t="s">
        <v>183</v>
      </c>
      <c r="C96" s="122" t="s">
        <v>200</v>
      </c>
      <c r="D96" s="122" t="s">
        <v>185</v>
      </c>
      <c r="E96" s="122" t="s">
        <v>201</v>
      </c>
      <c r="F96" s="122" t="s">
        <v>187</v>
      </c>
      <c r="G96" s="122" t="s">
        <v>202</v>
      </c>
      <c r="H96" s="122" t="s">
        <v>203</v>
      </c>
    </row>
    <row r="97" spans="1:8">
      <c r="A97" s="67"/>
      <c r="B97" s="142">
        <v>0.20833333333333334</v>
      </c>
      <c r="C97" s="428">
        <v>3332</v>
      </c>
      <c r="D97" s="428">
        <v>6011.49</v>
      </c>
      <c r="E97" s="428">
        <v>133.38134444444447</v>
      </c>
      <c r="F97" s="428">
        <v>45.07</v>
      </c>
      <c r="G97" s="428">
        <v>10.526969444444443</v>
      </c>
      <c r="H97" s="427">
        <v>3.1583333333333333E-3</v>
      </c>
    </row>
    <row r="98" spans="1:8">
      <c r="A98" s="67"/>
      <c r="B98" s="142">
        <v>0.25</v>
      </c>
      <c r="C98" s="428">
        <v>4193</v>
      </c>
      <c r="D98" s="428">
        <v>6365.69</v>
      </c>
      <c r="E98" s="428">
        <v>154.10772500000002</v>
      </c>
      <c r="F98" s="428">
        <v>41.31</v>
      </c>
      <c r="G98" s="428">
        <v>14.362466666666666</v>
      </c>
      <c r="H98" s="427">
        <v>3.4250000000000001E-3</v>
      </c>
    </row>
    <row r="99" spans="1:8">
      <c r="A99" s="67"/>
      <c r="B99" s="142">
        <v>0.29166666666666702</v>
      </c>
      <c r="C99" s="428">
        <v>4398</v>
      </c>
      <c r="D99" s="428">
        <v>6537.71</v>
      </c>
      <c r="E99" s="428">
        <v>161.41143888888891</v>
      </c>
      <c r="F99" s="428">
        <v>40.5</v>
      </c>
      <c r="G99" s="428">
        <v>18.279341666666667</v>
      </c>
      <c r="H99" s="427">
        <v>4.1555555555555556E-3</v>
      </c>
    </row>
    <row r="100" spans="1:8">
      <c r="A100" s="67"/>
      <c r="B100" s="142">
        <v>0.33333333333333298</v>
      </c>
      <c r="C100" s="428">
        <v>4708</v>
      </c>
      <c r="D100" s="428">
        <v>6355.15</v>
      </c>
      <c r="E100" s="428">
        <v>171.18802222222223</v>
      </c>
      <c r="F100" s="428">
        <v>37.119999999999997</v>
      </c>
      <c r="G100" s="428">
        <v>25.024772222222222</v>
      </c>
      <c r="H100" s="427">
        <v>5.3138888888888888E-3</v>
      </c>
    </row>
    <row r="101" spans="1:8">
      <c r="A101" s="67"/>
      <c r="B101" s="142">
        <v>0.375</v>
      </c>
      <c r="C101" s="428">
        <v>3188</v>
      </c>
      <c r="D101" s="428">
        <v>4136.3</v>
      </c>
      <c r="E101" s="428">
        <v>115.68540555555556</v>
      </c>
      <c r="F101" s="428">
        <v>35.76</v>
      </c>
      <c r="G101" s="428">
        <v>16.835486111111113</v>
      </c>
      <c r="H101" s="427">
        <v>5.2805555555555557E-3</v>
      </c>
    </row>
    <row r="102" spans="1:8">
      <c r="A102" s="67"/>
      <c r="B102" s="142">
        <v>0.41666666666666702</v>
      </c>
      <c r="C102" s="428">
        <v>2990</v>
      </c>
      <c r="D102" s="428">
        <v>3559.22</v>
      </c>
      <c r="E102" s="428">
        <v>103.07261388888888</v>
      </c>
      <c r="F102" s="428">
        <v>34.54</v>
      </c>
      <c r="G102" s="428">
        <v>14.568980555555555</v>
      </c>
      <c r="H102" s="427">
        <v>4.8694444444444445E-3</v>
      </c>
    </row>
    <row r="103" spans="1:8">
      <c r="A103" s="67"/>
      <c r="B103" s="142">
        <v>0.45833333333333298</v>
      </c>
      <c r="C103" s="428">
        <v>3593</v>
      </c>
      <c r="D103" s="428">
        <v>4189.88</v>
      </c>
      <c r="E103" s="428">
        <v>125.66998333333333</v>
      </c>
      <c r="F103" s="428">
        <v>33.340000000000003</v>
      </c>
      <c r="G103" s="428">
        <v>19.859897222222223</v>
      </c>
      <c r="H103" s="427">
        <v>5.5277777777777773E-3</v>
      </c>
    </row>
    <row r="104" spans="1:8">
      <c r="A104" s="67"/>
      <c r="B104" s="142">
        <v>0.5</v>
      </c>
      <c r="C104" s="428">
        <v>5288</v>
      </c>
      <c r="D104" s="428">
        <v>6398.7</v>
      </c>
      <c r="E104" s="428">
        <v>195.32008888888888</v>
      </c>
      <c r="F104" s="428">
        <v>32.76</v>
      </c>
      <c r="G104" s="428">
        <v>36.622363888888891</v>
      </c>
      <c r="H104" s="427">
        <v>6.9222222222222228E-3</v>
      </c>
    </row>
    <row r="105" spans="1:8">
      <c r="A105" s="67"/>
      <c r="B105" s="142">
        <v>0.54166666666666696</v>
      </c>
      <c r="C105" s="428">
        <v>5016</v>
      </c>
      <c r="D105" s="428">
        <v>6192.15</v>
      </c>
      <c r="E105" s="428">
        <v>181.83968611111112</v>
      </c>
      <c r="F105" s="428">
        <v>34.06</v>
      </c>
      <c r="G105" s="428">
        <v>30.368741666666669</v>
      </c>
      <c r="H105" s="427">
        <v>6.0527777777777776E-3</v>
      </c>
    </row>
    <row r="106" spans="1:8">
      <c r="A106" s="67"/>
      <c r="B106" s="142">
        <v>0.58333333333333304</v>
      </c>
      <c r="C106" s="428">
        <v>7473</v>
      </c>
      <c r="D106" s="428">
        <v>10008.61</v>
      </c>
      <c r="E106" s="428">
        <v>292.06092222222225</v>
      </c>
      <c r="F106" s="428">
        <v>34.270000000000003</v>
      </c>
      <c r="G106" s="428">
        <v>60.236169444444442</v>
      </c>
      <c r="H106" s="427">
        <v>8.0611111111111109E-3</v>
      </c>
    </row>
    <row r="107" spans="1:8">
      <c r="A107" s="67"/>
      <c r="B107" s="142">
        <v>0.625</v>
      </c>
      <c r="C107" s="428">
        <v>7864</v>
      </c>
      <c r="D107" s="428">
        <v>10086.01</v>
      </c>
      <c r="E107" s="428">
        <v>304.56850833333328</v>
      </c>
      <c r="F107" s="428">
        <v>33.119999999999997</v>
      </c>
      <c r="G107" s="428">
        <v>67.211836111111111</v>
      </c>
      <c r="H107" s="427">
        <v>8.5472222222222217E-3</v>
      </c>
    </row>
    <row r="108" spans="1:8">
      <c r="A108" s="67"/>
      <c r="B108" s="142">
        <v>0.66666666666666696</v>
      </c>
      <c r="C108" s="428">
        <v>5880</v>
      </c>
      <c r="D108" s="428">
        <v>7268.18</v>
      </c>
      <c r="E108" s="428">
        <v>214.21948333333333</v>
      </c>
      <c r="F108" s="428">
        <v>33.93</v>
      </c>
      <c r="G108" s="428">
        <v>40.995908333333333</v>
      </c>
      <c r="H108" s="427">
        <v>6.9722222222222225E-3</v>
      </c>
    </row>
    <row r="109" spans="1:8">
      <c r="A109" s="67"/>
      <c r="B109" s="142">
        <v>0.70833333333333304</v>
      </c>
      <c r="C109" s="428">
        <v>5259</v>
      </c>
      <c r="D109" s="428">
        <v>6349.37</v>
      </c>
      <c r="E109" s="428">
        <v>189.22708055555555</v>
      </c>
      <c r="F109" s="428">
        <v>33.56</v>
      </c>
      <c r="G109" s="428">
        <v>35.087444444444444</v>
      </c>
      <c r="H109" s="427">
        <v>6.6694444444444449E-3</v>
      </c>
    </row>
    <row r="110" spans="1:8">
      <c r="A110" s="67"/>
      <c r="B110" s="142">
        <v>0.75</v>
      </c>
      <c r="C110" s="428">
        <v>3570</v>
      </c>
      <c r="D110" s="428">
        <v>4119.9399999999996</v>
      </c>
      <c r="E110" s="428">
        <v>125.64208055555555</v>
      </c>
      <c r="F110" s="428">
        <v>32.79</v>
      </c>
      <c r="G110" s="428">
        <v>21.267183333333332</v>
      </c>
      <c r="H110" s="427">
        <v>5.9555555555555559E-3</v>
      </c>
    </row>
    <row r="111" spans="1:8">
      <c r="A111" s="67"/>
      <c r="B111" s="142">
        <v>0.79166666666666663</v>
      </c>
      <c r="C111" s="428">
        <v>2479</v>
      </c>
      <c r="D111" s="428">
        <v>2933.34</v>
      </c>
      <c r="E111" s="428">
        <v>85.105099999999993</v>
      </c>
      <c r="F111" s="428">
        <v>34.47</v>
      </c>
      <c r="G111" s="428">
        <v>11.262550000000001</v>
      </c>
      <c r="H111" s="427">
        <v>4.5416666666666669E-3</v>
      </c>
    </row>
    <row r="112" spans="1:8">
      <c r="A112" s="67"/>
      <c r="B112" s="130" t="s">
        <v>28</v>
      </c>
      <c r="C112" s="152">
        <f>SUBTOTAL(109,Table3B.5_27TTS_PA101[Total Vehicles Traveling Within the Network])</f>
        <v>69231</v>
      </c>
      <c r="D112" s="152">
        <f>SUBTOTAL(109,Table3B.5_27TTS_PA101[VMT: Total Path Distance (mi)])</f>
        <v>90511.739999999991</v>
      </c>
      <c r="E112" s="152">
        <f>SUBTOTAL(109,Table3B.5_27TTS_PA101[VHT: Total Time Within the Network (hr)])</f>
        <v>2552.499483333333</v>
      </c>
      <c r="F112" s="152">
        <f>SUBTOTAL(101,Table3B.5_27TTS_PA101[Average Speed (mph)])</f>
        <v>35.773333333333333</v>
      </c>
      <c r="G112" s="152">
        <f>SUBTOTAL(109,Table3B.5_27TTS_PA101[Total Delay: All Vehicles (hr)])</f>
        <v>422.51011111111103</v>
      </c>
      <c r="H112" s="152">
        <f>SUBTOTAL(101,Table3B.5_27TTS_PA101[Average Delay: Per Vehicle (hr/veh)])</f>
        <v>5.6968518518518522E-3</v>
      </c>
    </row>
    <row r="113" spans="1:8">
      <c r="A113" s="67"/>
    </row>
    <row r="114" spans="1:8" ht="13.5" customHeight="1">
      <c r="A114" s="67"/>
      <c r="B114" s="63" t="s">
        <v>204</v>
      </c>
    </row>
    <row r="115" spans="1:8">
      <c r="A115" s="67"/>
      <c r="B115" s="459"/>
      <c r="C115" s="459"/>
      <c r="D115" s="459"/>
      <c r="E115" s="459"/>
      <c r="F115" s="459"/>
      <c r="G115" s="459"/>
      <c r="H115" s="459"/>
    </row>
    <row r="116" spans="1:8" ht="25.5">
      <c r="A116" s="67"/>
      <c r="B116" s="122" t="s">
        <v>183</v>
      </c>
      <c r="C116" s="122" t="s">
        <v>191</v>
      </c>
      <c r="D116" s="84" t="s">
        <v>192</v>
      </c>
      <c r="E116" s="122" t="s">
        <v>193</v>
      </c>
      <c r="F116" s="122" t="s">
        <v>194</v>
      </c>
      <c r="G116" s="122" t="s">
        <v>195</v>
      </c>
      <c r="H116" s="122" t="s">
        <v>196</v>
      </c>
    </row>
    <row r="117" spans="1:8">
      <c r="A117" s="67"/>
      <c r="B117" s="142">
        <v>0.20833333333333334</v>
      </c>
      <c r="C117" s="156">
        <v>0.94</v>
      </c>
      <c r="D117" s="156">
        <v>0.06</v>
      </c>
      <c r="E117" s="426">
        <f>C97*Table3B.6_27Delay_PA103[[#This Row],[Car Traffic Share]]</f>
        <v>3132.08</v>
      </c>
      <c r="F117" s="155">
        <f>H97*Table3B.6_27Delay_PA103[[#This Row],[Car Traffic]]</f>
        <v>9.8921526666666661</v>
      </c>
      <c r="G117" s="154">
        <f>C97*Table3B.6_27Delay_PA103[[#This Row],[Truck Traffic Share]]</f>
        <v>199.92</v>
      </c>
      <c r="H117" s="155">
        <f>H97*Table3B.6_27Delay_PA103[[#This Row],[Truck Traffic]]</f>
        <v>0.63141399999999992</v>
      </c>
    </row>
    <row r="118" spans="1:8">
      <c r="A118" s="67"/>
      <c r="B118" s="142">
        <v>0.25</v>
      </c>
      <c r="C118" s="156">
        <v>0.94</v>
      </c>
      <c r="D118" s="156">
        <v>0.06</v>
      </c>
      <c r="E118" s="426">
        <f>C98*Table3B.6_27Delay_PA103[[#This Row],[Car Traffic Share]]</f>
        <v>3941.4199999999996</v>
      </c>
      <c r="F118" s="155">
        <f>H98*Table3B.6_27Delay_PA103[[#This Row],[Car Traffic]]</f>
        <v>13.499363499999999</v>
      </c>
      <c r="G118" s="154">
        <f>C98*Table3B.6_27Delay_PA103[[#This Row],[Truck Traffic Share]]</f>
        <v>251.57999999999998</v>
      </c>
      <c r="H118" s="155">
        <f>H98*Table3B.6_27Delay_PA103[[#This Row],[Truck Traffic]]</f>
        <v>0.86166149999999997</v>
      </c>
    </row>
    <row r="119" spans="1:8">
      <c r="A119" s="67"/>
      <c r="B119" s="142">
        <v>0.29166666666666702</v>
      </c>
      <c r="C119" s="156">
        <v>0.94</v>
      </c>
      <c r="D119" s="156">
        <v>0.06</v>
      </c>
      <c r="E119" s="426">
        <f>C99*Table3B.6_27Delay_PA103[[#This Row],[Car Traffic Share]]</f>
        <v>4134.12</v>
      </c>
      <c r="F119" s="155">
        <f>H99*Table3B.6_27Delay_PA103[[#This Row],[Car Traffic]]</f>
        <v>17.179565333333333</v>
      </c>
      <c r="G119" s="154">
        <f>C99*Table3B.6_27Delay_PA103[[#This Row],[Truck Traffic Share]]</f>
        <v>263.88</v>
      </c>
      <c r="H119" s="155">
        <f>H99*Table3B.6_27Delay_PA103[[#This Row],[Truck Traffic]]</f>
        <v>1.096568</v>
      </c>
    </row>
    <row r="120" spans="1:8">
      <c r="A120" s="67"/>
      <c r="B120" s="142">
        <v>0.33333333333333298</v>
      </c>
      <c r="C120" s="156">
        <v>0.94</v>
      </c>
      <c r="D120" s="156">
        <v>0.06</v>
      </c>
      <c r="E120" s="426">
        <f>C100*Table3B.6_27Delay_PA103[[#This Row],[Car Traffic Share]]</f>
        <v>4425.5199999999995</v>
      </c>
      <c r="F120" s="155">
        <f>H100*Table3B.6_27Delay_PA103[[#This Row],[Car Traffic]]</f>
        <v>23.516721555555552</v>
      </c>
      <c r="G120" s="154">
        <f>C100*Table3B.6_27Delay_PA103[[#This Row],[Truck Traffic Share]]</f>
        <v>282.47999999999996</v>
      </c>
      <c r="H120" s="155">
        <f>H100*Table3B.6_27Delay_PA103[[#This Row],[Truck Traffic]]</f>
        <v>1.5010673333333331</v>
      </c>
    </row>
    <row r="121" spans="1:8">
      <c r="A121" s="67"/>
      <c r="B121" s="142">
        <v>0.375</v>
      </c>
      <c r="C121" s="156">
        <v>0.94</v>
      </c>
      <c r="D121" s="156">
        <v>0.06</v>
      </c>
      <c r="E121" s="426">
        <f>C101*Table3B.6_27Delay_PA103[[#This Row],[Car Traffic Share]]</f>
        <v>2996.72</v>
      </c>
      <c r="F121" s="155">
        <f>H101*Table3B.6_27Delay_PA103[[#This Row],[Car Traffic]]</f>
        <v>15.824346444444444</v>
      </c>
      <c r="G121" s="154">
        <f>C101*Table3B.6_27Delay_PA103[[#This Row],[Truck Traffic Share]]</f>
        <v>191.28</v>
      </c>
      <c r="H121" s="155">
        <f>H101*Table3B.6_27Delay_PA103[[#This Row],[Truck Traffic]]</f>
        <v>1.0100646666666666</v>
      </c>
    </row>
    <row r="122" spans="1:8">
      <c r="A122" s="67"/>
      <c r="B122" s="142">
        <v>0.41666666666666702</v>
      </c>
      <c r="C122" s="156">
        <v>0.94</v>
      </c>
      <c r="D122" s="156">
        <v>0.06</v>
      </c>
      <c r="E122" s="426">
        <f>C102*Table3B.6_27Delay_PA103[[#This Row],[Car Traffic Share]]</f>
        <v>2810.6</v>
      </c>
      <c r="F122" s="155">
        <f>H102*Table3B.6_27Delay_PA103[[#This Row],[Car Traffic]]</f>
        <v>13.686060555555555</v>
      </c>
      <c r="G122" s="154">
        <f>C102*Table3B.6_27Delay_PA103[[#This Row],[Truck Traffic Share]]</f>
        <v>179.4</v>
      </c>
      <c r="H122" s="155">
        <f>H102*Table3B.6_27Delay_PA103[[#This Row],[Truck Traffic]]</f>
        <v>0.87357833333333335</v>
      </c>
    </row>
    <row r="123" spans="1:8">
      <c r="A123" s="67"/>
      <c r="B123" s="142">
        <v>0.45833333333333298</v>
      </c>
      <c r="C123" s="156">
        <v>0.94</v>
      </c>
      <c r="D123" s="156">
        <v>0.06</v>
      </c>
      <c r="E123" s="426">
        <f>C103*Table3B.6_27Delay_PA103[[#This Row],[Car Traffic Share]]</f>
        <v>3377.4199999999996</v>
      </c>
      <c r="F123" s="155">
        <f>H103*Table3B.6_27Delay_PA103[[#This Row],[Car Traffic]]</f>
        <v>18.669627222222218</v>
      </c>
      <c r="G123" s="154">
        <f>C103*Table3B.6_27Delay_PA103[[#This Row],[Truck Traffic Share]]</f>
        <v>215.57999999999998</v>
      </c>
      <c r="H123" s="155">
        <f>H103*Table3B.6_27Delay_PA103[[#This Row],[Truck Traffic]]</f>
        <v>1.1916783333333332</v>
      </c>
    </row>
    <row r="124" spans="1:8">
      <c r="A124" s="67"/>
      <c r="B124" s="142">
        <v>0.5</v>
      </c>
      <c r="C124" s="156">
        <v>0.94</v>
      </c>
      <c r="D124" s="156">
        <v>0.06</v>
      </c>
      <c r="E124" s="426">
        <f>C104*Table3B.6_27Delay_PA103[[#This Row],[Car Traffic Share]]</f>
        <v>4970.7199999999993</v>
      </c>
      <c r="F124" s="155">
        <f>H104*Table3B.6_27Delay_PA103[[#This Row],[Car Traffic]]</f>
        <v>34.408428444444446</v>
      </c>
      <c r="G124" s="154">
        <f>C104*Table3B.6_27Delay_PA103[[#This Row],[Truck Traffic Share]]</f>
        <v>317.27999999999997</v>
      </c>
      <c r="H124" s="155">
        <f>H104*Table3B.6_27Delay_PA103[[#This Row],[Truck Traffic]]</f>
        <v>2.1962826666666668</v>
      </c>
    </row>
    <row r="125" spans="1:8">
      <c r="A125" s="67"/>
      <c r="B125" s="142">
        <v>0.54166666666666696</v>
      </c>
      <c r="C125" s="156">
        <v>0.94</v>
      </c>
      <c r="D125" s="156">
        <v>0.06</v>
      </c>
      <c r="E125" s="426">
        <f>C105*Table3B.6_27Delay_PA103[[#This Row],[Car Traffic Share]]</f>
        <v>4715.04</v>
      </c>
      <c r="F125" s="155">
        <f>H105*Table3B.6_27Delay_PA103[[#This Row],[Car Traffic]]</f>
        <v>28.539089333333333</v>
      </c>
      <c r="G125" s="154">
        <f>C105*Table3B.6_27Delay_PA103[[#This Row],[Truck Traffic Share]]</f>
        <v>300.95999999999998</v>
      </c>
      <c r="H125" s="155">
        <f>H105*Table3B.6_27Delay_PA103[[#This Row],[Truck Traffic]]</f>
        <v>1.8216439999999998</v>
      </c>
    </row>
    <row r="126" spans="1:8">
      <c r="A126" s="67"/>
      <c r="B126" s="142">
        <v>0.58333333333333304</v>
      </c>
      <c r="C126" s="156">
        <v>0.94</v>
      </c>
      <c r="D126" s="156">
        <v>0.06</v>
      </c>
      <c r="E126" s="426">
        <f>C106*Table3B.6_27Delay_PA103[[#This Row],[Car Traffic Share]]</f>
        <v>7024.62</v>
      </c>
      <c r="F126" s="155">
        <f>H106*Table3B.6_27Delay_PA103[[#This Row],[Car Traffic]]</f>
        <v>56.62624233333333</v>
      </c>
      <c r="G126" s="154">
        <f>C106*Table3B.6_27Delay_PA103[[#This Row],[Truck Traffic Share]]</f>
        <v>448.38</v>
      </c>
      <c r="H126" s="155">
        <f>H106*Table3B.6_27Delay_PA103[[#This Row],[Truck Traffic]]</f>
        <v>3.6144409999999998</v>
      </c>
    </row>
    <row r="127" spans="1:8">
      <c r="A127" s="67"/>
      <c r="B127" s="142">
        <v>0.625</v>
      </c>
      <c r="C127" s="156">
        <v>0.94</v>
      </c>
      <c r="D127" s="156">
        <v>0.06</v>
      </c>
      <c r="E127" s="426">
        <f>C107*Table3B.6_27Delay_PA103[[#This Row],[Car Traffic Share]]</f>
        <v>7392.16</v>
      </c>
      <c r="F127" s="155">
        <f>H107*Table3B.6_27Delay_PA103[[#This Row],[Car Traffic]]</f>
        <v>63.18243422222222</v>
      </c>
      <c r="G127" s="154">
        <f>C107*Table3B.6_27Delay_PA103[[#This Row],[Truck Traffic Share]]</f>
        <v>471.84</v>
      </c>
      <c r="H127" s="155">
        <f>H107*Table3B.6_27Delay_PA103[[#This Row],[Truck Traffic]]</f>
        <v>4.0329213333333325</v>
      </c>
    </row>
    <row r="128" spans="1:8">
      <c r="A128" s="67"/>
      <c r="B128" s="142">
        <v>0.66666666666666696</v>
      </c>
      <c r="C128" s="156">
        <v>0.94</v>
      </c>
      <c r="D128" s="156">
        <v>0.06</v>
      </c>
      <c r="E128" s="426">
        <f>C108*Table3B.6_27Delay_PA103[[#This Row],[Car Traffic Share]]</f>
        <v>5527.2</v>
      </c>
      <c r="F128" s="155">
        <f>H108*Table3B.6_27Delay_PA103[[#This Row],[Car Traffic]]</f>
        <v>38.536866666666668</v>
      </c>
      <c r="G128" s="154">
        <f>C108*Table3B.6_27Delay_PA103[[#This Row],[Truck Traffic Share]]</f>
        <v>352.8</v>
      </c>
      <c r="H128" s="155">
        <f>H108*Table3B.6_27Delay_PA103[[#This Row],[Truck Traffic]]</f>
        <v>2.4598</v>
      </c>
    </row>
    <row r="129" spans="1:8">
      <c r="A129" s="67"/>
      <c r="B129" s="142">
        <v>0.70833333333333304</v>
      </c>
      <c r="C129" s="156">
        <v>0.94</v>
      </c>
      <c r="D129" s="156">
        <v>0.06</v>
      </c>
      <c r="E129" s="426">
        <f>C109*Table3B.6_27Delay_PA103[[#This Row],[Car Traffic Share]]</f>
        <v>4943.46</v>
      </c>
      <c r="F129" s="155">
        <f>H109*Table3B.6_27Delay_PA103[[#This Row],[Car Traffic]]</f>
        <v>32.970131833333333</v>
      </c>
      <c r="G129" s="154">
        <f>C109*Table3B.6_27Delay_PA103[[#This Row],[Truck Traffic Share]]</f>
        <v>315.53999999999996</v>
      </c>
      <c r="H129" s="155">
        <f>H109*Table3B.6_27Delay_PA103[[#This Row],[Truck Traffic]]</f>
        <v>2.1044765000000001</v>
      </c>
    </row>
    <row r="130" spans="1:8">
      <c r="A130" s="67"/>
      <c r="B130" s="142">
        <v>0.75</v>
      </c>
      <c r="C130" s="156">
        <v>0.94</v>
      </c>
      <c r="D130" s="156">
        <v>0.06</v>
      </c>
      <c r="E130" s="426">
        <f>C110*Table3B.6_27Delay_PA103[[#This Row],[Car Traffic Share]]</f>
        <v>3355.7999999999997</v>
      </c>
      <c r="F130" s="155">
        <f>H110*Table3B.6_27Delay_PA103[[#This Row],[Car Traffic]]</f>
        <v>19.985653333333332</v>
      </c>
      <c r="G130" s="154">
        <f>C110*Table3B.6_27Delay_PA103[[#This Row],[Truck Traffic Share]]</f>
        <v>214.2</v>
      </c>
      <c r="H130" s="155">
        <f>H110*Table3B.6_27Delay_PA103[[#This Row],[Truck Traffic]]</f>
        <v>1.2756799999999999</v>
      </c>
    </row>
    <row r="131" spans="1:8" ht="13.5" thickBot="1">
      <c r="B131" s="142">
        <v>0.79166666666666663</v>
      </c>
      <c r="C131" s="158">
        <v>0.94</v>
      </c>
      <c r="D131" s="158">
        <v>0.06</v>
      </c>
      <c r="E131" s="425">
        <f>C111*Table3B.6_27Delay_PA103[[#This Row],[Car Traffic Share]]</f>
        <v>2330.2599999999998</v>
      </c>
      <c r="F131" s="160">
        <f>H111*Table3B.6_27Delay_PA103[[#This Row],[Car Traffic]]</f>
        <v>10.583264166666666</v>
      </c>
      <c r="G131" s="159">
        <f>C111*Table3B.6_27Delay_PA103[[#This Row],[Truck Traffic Share]]</f>
        <v>148.73999999999998</v>
      </c>
      <c r="H131" s="160">
        <f>H111*Table3B.6_27Delay_PA103[[#This Row],[Truck Traffic]]</f>
        <v>0.67552749999999995</v>
      </c>
    </row>
    <row r="132" spans="1:8" s="76" customFormat="1" ht="13.5" thickTop="1">
      <c r="B132" s="166" t="s">
        <v>28</v>
      </c>
      <c r="C132" s="127"/>
      <c r="D132" s="127"/>
      <c r="E132" s="167">
        <f>SUBTOTAL(109,Table3B.6_27Delay_PA103[Car Traffic])</f>
        <v>65077.14</v>
      </c>
      <c r="F132" s="167">
        <f>SUBTOTAL(109,Table3B.6_27Delay_PA103[Car Delay 
(hrs)])</f>
        <v>397.09994761111102</v>
      </c>
      <c r="G132" s="167">
        <f>SUBTOTAL(109,Table3B.6_27Delay_PA103[Truck Traffic])</f>
        <v>4153.8599999999997</v>
      </c>
      <c r="H132" s="167">
        <f>SUBTOTAL(109,Table3B.6_27Delay_PA103[Truck Delay (hrs)])</f>
        <v>25.346805166666666</v>
      </c>
    </row>
    <row r="134" spans="1:8">
      <c r="B134" s="63" t="s">
        <v>205</v>
      </c>
    </row>
    <row r="135" spans="1:8">
      <c r="B135" s="459"/>
      <c r="C135" s="459"/>
      <c r="D135" s="459"/>
      <c r="E135" s="459"/>
      <c r="F135" s="459"/>
      <c r="G135" s="459"/>
      <c r="H135" s="459"/>
    </row>
    <row r="136" spans="1:8" ht="25.5">
      <c r="B136" s="122" t="s">
        <v>183</v>
      </c>
      <c r="C136" s="122" t="s">
        <v>206</v>
      </c>
      <c r="D136" s="84" t="s">
        <v>207</v>
      </c>
      <c r="E136" s="122" t="s">
        <v>208</v>
      </c>
      <c r="F136" s="122" t="s">
        <v>209</v>
      </c>
      <c r="G136" s="122" t="s">
        <v>210</v>
      </c>
      <c r="H136" s="122" t="s">
        <v>211</v>
      </c>
    </row>
    <row r="137" spans="1:8">
      <c r="B137" s="142">
        <v>0.20833333333333334</v>
      </c>
      <c r="C137" s="424">
        <f t="shared" ref="C137:C151" si="0">F77-F117</f>
        <v>-0.95637688888889016</v>
      </c>
      <c r="D137" s="424">
        <f t="shared" ref="D137:D151" si="1">H77-H117</f>
        <v>-6.1045333333333396E-2</v>
      </c>
      <c r="E137" s="414">
        <f>Table3B.7_27Money104[[#This Row],[Car Delay Savings (hrs)]]*All_Purpose_Travel*Passenger_Vehicles_Occupancy</f>
        <v>-30.026408803555594</v>
      </c>
      <c r="F137" s="414">
        <f>Table3B.7_27Money104[[#This Row],[Truck Delay Savings (hrs)]]*Truck_Travel</f>
        <v>-1.977868800000002</v>
      </c>
      <c r="G137" s="414">
        <f>(Table3B.7_27Money104[[#This Row],[Truck Savings Benefits (Daily)]]+Table3B.7_27Money104[[#This Row],[Car Savings Benefits (Daily)]])*270</f>
        <v>-8641.1549529600106</v>
      </c>
      <c r="H137" s="414">
        <f>(Table3B.7_27Money104[[#This Row],[Car Savings Benefits (Daily)]]+Table3B.7_27Money104[[#This Row],[Truck Savings Benefits (Daily)]])*365</f>
        <v>-11681.561325297791</v>
      </c>
    </row>
    <row r="138" spans="1:8">
      <c r="B138" s="142">
        <v>0.25</v>
      </c>
      <c r="C138" s="424">
        <f t="shared" si="0"/>
        <v>1.7918828333333323</v>
      </c>
      <c r="D138" s="424">
        <f t="shared" si="1"/>
        <v>0.11437550000000007</v>
      </c>
      <c r="E138" s="414">
        <f>Table3B.7_27Money104[[#This Row],[Car Delay Savings (hrs)]]*All_Purpose_Travel*Passenger_Vehicles_Occupancy</f>
        <v>56.257953435333306</v>
      </c>
      <c r="F138" s="414">
        <f>Table3B.7_27Money104[[#This Row],[Truck Delay Savings (hrs)]]*Truck_Travel</f>
        <v>3.7057662000000025</v>
      </c>
      <c r="G138" s="414">
        <f>(Table3B.7_27Money104[[#This Row],[Truck Savings Benefits (Daily)]]+Table3B.7_27Money104[[#This Row],[Car Savings Benefits (Daily)]])*270</f>
        <v>16190.204301539992</v>
      </c>
      <c r="H138" s="414">
        <f>(Table3B.7_27Money104[[#This Row],[Car Savings Benefits (Daily)]]+Table3B.7_27Money104[[#This Row],[Truck Savings Benefits (Daily)]])*365</f>
        <v>21886.757666896658</v>
      </c>
    </row>
    <row r="139" spans="1:8">
      <c r="B139" s="142">
        <v>0.29166666666666702</v>
      </c>
      <c r="C139" s="424">
        <f t="shared" si="0"/>
        <v>0.77850799999999865</v>
      </c>
      <c r="D139" s="424">
        <f t="shared" si="1"/>
        <v>4.9691999999999847E-2</v>
      </c>
      <c r="E139" s="414">
        <f>Table3B.7_27Money104[[#This Row],[Car Delay Savings (hrs)]]*All_Purpose_Travel*Passenger_Vehicles_Occupancy</f>
        <v>24.44203716799996</v>
      </c>
      <c r="F139" s="414">
        <f>Table3B.7_27Money104[[#This Row],[Truck Delay Savings (hrs)]]*Truck_Travel</f>
        <v>1.6100207999999949</v>
      </c>
      <c r="G139" s="414">
        <f>(Table3B.7_27Money104[[#This Row],[Truck Savings Benefits (Daily)]]+Table3B.7_27Money104[[#This Row],[Car Savings Benefits (Daily)]])*270</f>
        <v>7034.0556513599877</v>
      </c>
      <c r="H139" s="414">
        <f>(Table3B.7_27Money104[[#This Row],[Car Savings Benefits (Daily)]]+Table3B.7_27Money104[[#This Row],[Truck Savings Benefits (Daily)]])*365</f>
        <v>9509.001158319983</v>
      </c>
    </row>
    <row r="140" spans="1:8">
      <c r="B140" s="142">
        <v>0.33333333333333298</v>
      </c>
      <c r="C140" s="424">
        <f t="shared" si="0"/>
        <v>1.9802144444444458</v>
      </c>
      <c r="D140" s="424">
        <f t="shared" si="1"/>
        <v>0.12639666666666693</v>
      </c>
      <c r="E140" s="414">
        <f>Table3B.7_27Money104[[#This Row],[Car Delay Savings (hrs)]]*All_Purpose_Travel*Passenger_Vehicles_Occupancy</f>
        <v>62.170812697777819</v>
      </c>
      <c r="F140" s="414">
        <f>Table3B.7_27Money104[[#This Row],[Truck Delay Savings (hrs)]]*Truck_Travel</f>
        <v>4.0952520000000083</v>
      </c>
      <c r="G140" s="414">
        <f>(Table3B.7_27Money104[[#This Row],[Truck Savings Benefits (Daily)]]+Table3B.7_27Money104[[#This Row],[Car Savings Benefits (Daily)]])*270</f>
        <v>17891.837468400012</v>
      </c>
      <c r="H140" s="414">
        <f>(Table3B.7_27Money104[[#This Row],[Car Savings Benefits (Daily)]]+Table3B.7_27Money104[[#This Row],[Truck Savings Benefits (Daily)]])*365</f>
        <v>24187.113614688904</v>
      </c>
    </row>
    <row r="141" spans="1:8">
      <c r="B141" s="142">
        <v>0.375</v>
      </c>
      <c r="C141" s="424">
        <f t="shared" si="0"/>
        <v>1.0238062222222233</v>
      </c>
      <c r="D141" s="424">
        <f t="shared" si="1"/>
        <v>6.5349333333333259E-2</v>
      </c>
      <c r="E141" s="414">
        <f>Table3B.7_27Money104[[#This Row],[Car Delay Savings (hrs)]]*All_Purpose_Travel*Passenger_Vehicles_Occupancy</f>
        <v>32.143420152888922</v>
      </c>
      <c r="F141" s="414">
        <f>Table3B.7_27Money104[[#This Row],[Truck Delay Savings (hrs)]]*Truck_Travel</f>
        <v>2.1173183999999976</v>
      </c>
      <c r="G141" s="414">
        <f>(Table3B.7_27Money104[[#This Row],[Truck Savings Benefits (Daily)]]+Table3B.7_27Money104[[#This Row],[Car Savings Benefits (Daily)]])*270</f>
        <v>9250.3994092800076</v>
      </c>
      <c r="H141" s="414">
        <f>(Table3B.7_27Money104[[#This Row],[Car Savings Benefits (Daily)]]+Table3B.7_27Money104[[#This Row],[Truck Savings Benefits (Daily)]])*365</f>
        <v>12505.169571804454</v>
      </c>
    </row>
    <row r="142" spans="1:8">
      <c r="B142" s="142">
        <v>0.41666666666666702</v>
      </c>
      <c r="C142" s="424">
        <f t="shared" si="0"/>
        <v>2.7043591111111116</v>
      </c>
      <c r="D142" s="424">
        <f t="shared" si="1"/>
        <v>0.1726186666666667</v>
      </c>
      <c r="E142" s="414">
        <f>Table3B.7_27Money104[[#This Row],[Car Delay Savings (hrs)]]*All_Purpose_Travel*Passenger_Vehicles_Occupancy</f>
        <v>84.906058652444457</v>
      </c>
      <c r="F142" s="414">
        <f>Table3B.7_27Money104[[#This Row],[Truck Delay Savings (hrs)]]*Truck_Travel</f>
        <v>5.5928448000000008</v>
      </c>
      <c r="G142" s="414">
        <f>(Table3B.7_27Money104[[#This Row],[Truck Savings Benefits (Daily)]]+Table3B.7_27Money104[[#This Row],[Car Savings Benefits (Daily)]])*270</f>
        <v>24434.703932160002</v>
      </c>
      <c r="H142" s="414">
        <f>(Table3B.7_27Money104[[#This Row],[Car Savings Benefits (Daily)]]+Table3B.7_27Money104[[#This Row],[Truck Savings Benefits (Daily)]])*365</f>
        <v>33032.099760142228</v>
      </c>
    </row>
    <row r="143" spans="1:8">
      <c r="B143" s="142">
        <v>0.45833333333333298</v>
      </c>
      <c r="C143" s="424">
        <f t="shared" si="0"/>
        <v>4.1878671111111139</v>
      </c>
      <c r="D143" s="424">
        <f t="shared" si="1"/>
        <v>0.2673106666666667</v>
      </c>
      <c r="E143" s="414">
        <f>Table3B.7_27Money104[[#This Row],[Car Delay Savings (hrs)]]*All_Purpose_Travel*Passenger_Vehicles_Occupancy</f>
        <v>131.48227582044453</v>
      </c>
      <c r="F143" s="414">
        <f>Table3B.7_27Money104[[#This Row],[Truck Delay Savings (hrs)]]*Truck_Travel</f>
        <v>8.6608656000000011</v>
      </c>
      <c r="G143" s="414">
        <f>(Table3B.7_27Money104[[#This Row],[Truck Savings Benefits (Daily)]]+Table3B.7_27Money104[[#This Row],[Car Savings Benefits (Daily)]])*270</f>
        <v>37838.648183520017</v>
      </c>
      <c r="H143" s="414">
        <f>(Table3B.7_27Money104[[#This Row],[Car Savings Benefits (Daily)]]+Table3B.7_27Money104[[#This Row],[Truck Savings Benefits (Daily)]])*365</f>
        <v>51152.246618462254</v>
      </c>
    </row>
    <row r="144" spans="1:8">
      <c r="B144" s="142">
        <v>0.5</v>
      </c>
      <c r="C144" s="424">
        <f t="shared" si="0"/>
        <v>7.8343490555555491</v>
      </c>
      <c r="D144" s="424">
        <f t="shared" si="1"/>
        <v>0.50006483333333307</v>
      </c>
      <c r="E144" s="414">
        <f>Table3B.7_27Money104[[#This Row],[Car Delay Savings (hrs)]]*All_Purpose_Travel*Passenger_Vehicles_Occupancy</f>
        <v>245.96722294822203</v>
      </c>
      <c r="F144" s="414">
        <f>Table3B.7_27Money104[[#This Row],[Truck Delay Savings (hrs)]]*Truck_Travel</f>
        <v>16.202100599999991</v>
      </c>
      <c r="G144" s="414">
        <f>(Table3B.7_27Money104[[#This Row],[Truck Savings Benefits (Daily)]]+Table3B.7_27Money104[[#This Row],[Car Savings Benefits (Daily)]])*270</f>
        <v>70785.717358019945</v>
      </c>
      <c r="H144" s="414">
        <f>(Table3B.7_27Money104[[#This Row],[Car Savings Benefits (Daily)]]+Table3B.7_27Money104[[#This Row],[Truck Savings Benefits (Daily)]])*365</f>
        <v>95691.80309510103</v>
      </c>
    </row>
    <row r="145" spans="2:8">
      <c r="B145" s="142">
        <v>0.54166666666666696</v>
      </c>
      <c r="C145" s="424">
        <f t="shared" si="0"/>
        <v>6.2027074999999989</v>
      </c>
      <c r="D145" s="424">
        <f t="shared" si="1"/>
        <v>0.39591750000000014</v>
      </c>
      <c r="E145" s="414">
        <f>Table3B.7_27Money104[[#This Row],[Car Delay Savings (hrs)]]*All_Purpose_Travel*Passenger_Vehicles_Occupancy</f>
        <v>194.74020466999997</v>
      </c>
      <c r="F145" s="414">
        <f>Table3B.7_27Money104[[#This Row],[Truck Delay Savings (hrs)]]*Truck_Travel</f>
        <v>12.827727000000005</v>
      </c>
      <c r="G145" s="414">
        <f>(Table3B.7_27Money104[[#This Row],[Truck Savings Benefits (Daily)]]+Table3B.7_27Money104[[#This Row],[Car Savings Benefits (Daily)]])*270</f>
        <v>56043.341550899997</v>
      </c>
      <c r="H145" s="414">
        <f>(Table3B.7_27Money104[[#This Row],[Car Savings Benefits (Daily)]]+Table3B.7_27Money104[[#This Row],[Truck Savings Benefits (Daily)]])*365</f>
        <v>75762.295059549986</v>
      </c>
    </row>
    <row r="146" spans="2:8">
      <c r="B146" s="142">
        <v>0.58333333333333304</v>
      </c>
      <c r="C146" s="424">
        <f t="shared" si="0"/>
        <v>11.433470666666672</v>
      </c>
      <c r="D146" s="424">
        <f t="shared" si="1"/>
        <v>0.72979600000000078</v>
      </c>
      <c r="E146" s="414">
        <f>Table3B.7_27Money104[[#This Row],[Car Delay Savings (hrs)]]*All_Purpose_Travel*Passenger_Vehicles_Occupancy</f>
        <v>358.96524505066685</v>
      </c>
      <c r="F146" s="414">
        <f>Table3B.7_27Money104[[#This Row],[Truck Delay Savings (hrs)]]*Truck_Travel</f>
        <v>23.645390400000025</v>
      </c>
      <c r="G146" s="414">
        <f>(Table3B.7_27Money104[[#This Row],[Truck Savings Benefits (Daily)]]+Table3B.7_27Money104[[#This Row],[Car Savings Benefits (Daily)]])*270</f>
        <v>103304.87157168007</v>
      </c>
      <c r="H146" s="414">
        <f>(Table3B.7_27Money104[[#This Row],[Car Savings Benefits (Daily)]]+Table3B.7_27Money104[[#This Row],[Truck Savings Benefits (Daily)]])*365</f>
        <v>139652.88193949341</v>
      </c>
    </row>
    <row r="147" spans="2:8">
      <c r="B147" s="142">
        <v>0.625</v>
      </c>
      <c r="C147" s="424">
        <f t="shared" si="0"/>
        <v>84.103528555555556</v>
      </c>
      <c r="D147" s="424">
        <f t="shared" si="1"/>
        <v>5.3683103333333335</v>
      </c>
      <c r="E147" s="414">
        <f>Table3B.7_27Money104[[#This Row],[Car Delay Savings (hrs)]]*All_Purpose_Travel*Passenger_Vehicles_Occupancy</f>
        <v>2640.5143825302221</v>
      </c>
      <c r="F147" s="414">
        <f>Table3B.7_27Money104[[#This Row],[Truck Delay Savings (hrs)]]*Truck_Travel</f>
        <v>173.93325479999999</v>
      </c>
      <c r="G147" s="414">
        <f>(Table3B.7_27Money104[[#This Row],[Truck Savings Benefits (Daily)]]+Table3B.7_27Money104[[#This Row],[Car Savings Benefits (Daily)]])*270</f>
        <v>759900.86207916006</v>
      </c>
      <c r="H147" s="414">
        <f>(Table3B.7_27Money104[[#This Row],[Car Savings Benefits (Daily)]]+Table3B.7_27Money104[[#This Row],[Truck Savings Benefits (Daily)]])*365</f>
        <v>1027273.3876255312</v>
      </c>
    </row>
    <row r="148" spans="2:8">
      <c r="B148" s="142">
        <v>0.66666666666666696</v>
      </c>
      <c r="C148" s="424">
        <f t="shared" si="0"/>
        <v>173.14580666666669</v>
      </c>
      <c r="D148" s="424">
        <f t="shared" si="1"/>
        <v>11.051860000000001</v>
      </c>
      <c r="E148" s="414">
        <f>Table3B.7_27Money104[[#This Row],[Car Delay Savings (hrs)]]*All_Purpose_Travel*Passenger_Vehicles_Occupancy</f>
        <v>5436.0857461066671</v>
      </c>
      <c r="F148" s="414">
        <f>Table3B.7_27Money104[[#This Row],[Truck Delay Savings (hrs)]]*Truck_Travel</f>
        <v>358.080264</v>
      </c>
      <c r="G148" s="414">
        <f>(Table3B.7_27Money104[[#This Row],[Truck Savings Benefits (Daily)]]+Table3B.7_27Money104[[#This Row],[Car Savings Benefits (Daily)]])*270</f>
        <v>1564424.8227288001</v>
      </c>
      <c r="H148" s="414">
        <f>(Table3B.7_27Money104[[#This Row],[Car Savings Benefits (Daily)]]+Table3B.7_27Money104[[#This Row],[Truck Savings Benefits (Daily)]])*365</f>
        <v>2114870.5936889336</v>
      </c>
    </row>
    <row r="149" spans="2:8">
      <c r="B149" s="142">
        <v>0.70833333333333304</v>
      </c>
      <c r="C149" s="424">
        <f t="shared" si="0"/>
        <v>286.22744372222223</v>
      </c>
      <c r="D149" s="424">
        <f t="shared" si="1"/>
        <v>18.269836833333333</v>
      </c>
      <c r="E149" s="414">
        <f>Table3B.7_27Money104[[#This Row],[Car Delay Savings (hrs)]]*All_Purpose_Travel*Passenger_Vehicles_Occupancy</f>
        <v>8986.3968231028884</v>
      </c>
      <c r="F149" s="414">
        <f>Table3B.7_27Money104[[#This Row],[Truck Delay Savings (hrs)]]*Truck_Travel</f>
        <v>591.9427134</v>
      </c>
      <c r="G149" s="414">
        <f>(Table3B.7_27Money104[[#This Row],[Truck Savings Benefits (Daily)]]+Table3B.7_27Money104[[#This Row],[Car Savings Benefits (Daily)]])*270</f>
        <v>2586151.6748557799</v>
      </c>
      <c r="H149" s="414">
        <f>(Table3B.7_27Money104[[#This Row],[Car Savings Benefits (Daily)]]+Table3B.7_27Money104[[#This Row],[Truck Savings Benefits (Daily)]])*365</f>
        <v>3496093.9308235543</v>
      </c>
    </row>
    <row r="150" spans="2:8">
      <c r="B150" s="142">
        <v>0.75</v>
      </c>
      <c r="C150" s="424">
        <f t="shared" si="0"/>
        <v>298.85741166666668</v>
      </c>
      <c r="D150" s="424">
        <f t="shared" si="1"/>
        <v>19.076004999999999</v>
      </c>
      <c r="E150" s="414">
        <f>Table3B.7_27Money104[[#This Row],[Car Delay Savings (hrs)]]*All_Purpose_Travel*Passenger_Vehicles_Occupancy</f>
        <v>9382.9272966866665</v>
      </c>
      <c r="F150" s="414">
        <f>Table3B.7_27Money104[[#This Row],[Truck Delay Savings (hrs)]]*Truck_Travel</f>
        <v>618.06256199999996</v>
      </c>
      <c r="G150" s="414">
        <f>(Table3B.7_27Money104[[#This Row],[Truck Savings Benefits (Daily)]]+Table3B.7_27Money104[[#This Row],[Car Savings Benefits (Daily)]])*270</f>
        <v>2700267.2618453996</v>
      </c>
      <c r="H150" s="414">
        <f>(Table3B.7_27Money104[[#This Row],[Car Savings Benefits (Daily)]]+Table3B.7_27Money104[[#This Row],[Truck Savings Benefits (Daily)]])*365</f>
        <v>3650361.2984206332</v>
      </c>
    </row>
    <row r="151" spans="2:8" ht="13.5" thickBot="1">
      <c r="B151" s="142">
        <v>0.79166666666666663</v>
      </c>
      <c r="C151" s="423">
        <f t="shared" si="0"/>
        <v>251.49653783333338</v>
      </c>
      <c r="D151" s="423">
        <f t="shared" si="1"/>
        <v>16.052970499999997</v>
      </c>
      <c r="E151" s="422">
        <f>Table3B.7_27Money104[[#This Row],[Car Delay Savings (hrs)]]*All_Purpose_Travel*Passenger_Vehicles_Occupancy</f>
        <v>7895.9853018153344</v>
      </c>
      <c r="F151" s="422">
        <f>Table3B.7_27Money104[[#This Row],[Truck Delay Savings (hrs)]]*Truck_Travel</f>
        <v>520.11624419999987</v>
      </c>
      <c r="G151" s="422">
        <f>(Table3B.7_27Money104[[#This Row],[Truck Savings Benefits (Daily)]]+Table3B.7_27Money104[[#This Row],[Car Savings Benefits (Daily)]])*270</f>
        <v>2272347.41742414</v>
      </c>
      <c r="H151" s="422">
        <f>(Table3B.7_27Money104[[#This Row],[Car Savings Benefits (Daily)]]+Table3B.7_27Money104[[#This Row],[Truck Savings Benefits (Daily)]])*365</f>
        <v>3071877.0642955969</v>
      </c>
    </row>
    <row r="152" spans="2:8" ht="13.5" thickTop="1">
      <c r="B152" s="90" t="s">
        <v>28</v>
      </c>
      <c r="C152" s="81"/>
      <c r="D152" s="81"/>
      <c r="E152" s="126">
        <f>SUBTOTAL(109,Table3B.7_27Money104[Car Savings Benefits (Daily)])</f>
        <v>35502.958372034002</v>
      </c>
      <c r="F152" s="126">
        <f>SUBTOTAL(109,Table3B.7_27Money104[Truck Savings Benefits (Daily)])</f>
        <v>2338.6144553999998</v>
      </c>
      <c r="G152" s="126">
        <f>SUBTOTAL(109,Table3B.7_27Money104[Total Benefits, Low (270 Days)])</f>
        <v>10217224.663407179</v>
      </c>
      <c r="H152" s="126">
        <f>SUBTOTAL(109,Table3B.7_27Money104[Total Benefits, High (365 Days)])</f>
        <v>13812174.08201341</v>
      </c>
    </row>
  </sheetData>
  <mergeCells count="12">
    <mergeCell ref="B11:I11"/>
    <mergeCell ref="B12:I12"/>
    <mergeCell ref="B135:H135"/>
    <mergeCell ref="A1:I1"/>
    <mergeCell ref="B35:H35"/>
    <mergeCell ref="B75:H75"/>
    <mergeCell ref="B115:H115"/>
    <mergeCell ref="B55:H55"/>
    <mergeCell ref="B95:H95"/>
    <mergeCell ref="B8:I8"/>
    <mergeCell ref="B9:I9"/>
    <mergeCell ref="B10:I10"/>
  </mergeCells>
  <dataValidations count="1">
    <dataValidation allowBlank="1" showInputMessage="1" showErrorMessage="1" sqref="A1" xr:uid="{F3B2D4FA-3A64-4BD2-A363-C659816BB595}"/>
  </dataValidations>
  <pageMargins left="0.7" right="0.7" top="0.75" bottom="0.75" header="0.3" footer="0.3"/>
  <pageSetup scale="81" fitToHeight="0" orientation="landscape" r:id="rId1"/>
  <rowBreaks count="4" manualBreakCount="4">
    <brk id="12" max="16383" man="1"/>
    <brk id="52" max="16383" man="1"/>
    <brk id="92" max="16383" man="1"/>
    <brk id="132" max="16383" man="1"/>
  </rowBreaks>
  <drawing r:id="rId2"/>
  <tableParts count="7">
    <tablePart r:id="rId3"/>
    <tablePart r:id="rId4"/>
    <tablePart r:id="rId5"/>
    <tablePart r:id="rId6"/>
    <tablePart r:id="rId7"/>
    <tablePart r:id="rId8"/>
    <tablePart r:id="rId9"/>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2356C-5CCB-4116-BB37-887565604E5F}">
  <sheetPr>
    <tabColor theme="0" tint="-0.249977111117893"/>
    <pageSetUpPr fitToPage="1"/>
  </sheetPr>
  <dimension ref="A1:I106"/>
  <sheetViews>
    <sheetView showGridLines="0" zoomScale="80" zoomScaleNormal="80" workbookViewId="0">
      <selection activeCell="P55" sqref="P55"/>
    </sheetView>
  </sheetViews>
  <sheetFormatPr defaultColWidth="9.140625" defaultRowHeight="12.75"/>
  <cols>
    <col min="1" max="1" width="21.7109375" style="61" customWidth="1"/>
    <col min="2" max="8" width="15.7109375" style="67" customWidth="1"/>
    <col min="9" max="9" width="21.7109375" style="61" customWidth="1"/>
    <col min="10" max="15" width="9.140625" style="61"/>
    <col min="16" max="16" width="16.140625" style="61" bestFit="1" customWidth="1"/>
    <col min="17" max="16384" width="9.140625" style="61"/>
  </cols>
  <sheetData>
    <row r="1" spans="1:9" ht="15" customHeight="1">
      <c r="A1" s="501" t="s">
        <v>212</v>
      </c>
      <c r="B1" s="501"/>
      <c r="C1" s="501"/>
      <c r="D1" s="501"/>
      <c r="E1" s="501"/>
      <c r="F1" s="501"/>
      <c r="G1" s="501"/>
      <c r="H1" s="501"/>
      <c r="I1" s="501"/>
    </row>
    <row r="2" spans="1:9" ht="15" customHeight="1">
      <c r="A2" s="139" t="s">
        <v>1</v>
      </c>
      <c r="B2" s="63" t="str">
        <f>Project_Name</f>
        <v>Completing the I-95 Missing Move and Quonset Connector Ramps</v>
      </c>
      <c r="I2" s="67"/>
    </row>
    <row r="3" spans="1:9" ht="15" customHeight="1">
      <c r="A3" s="139" t="s">
        <v>2</v>
      </c>
      <c r="B3" s="63" t="s">
        <v>56</v>
      </c>
      <c r="I3" s="67"/>
    </row>
    <row r="4" spans="1:9" ht="15" customHeight="1">
      <c r="A4" s="139" t="s">
        <v>4</v>
      </c>
      <c r="B4" s="64">
        <f>Date</f>
        <v>45159</v>
      </c>
      <c r="I4" s="67"/>
    </row>
    <row r="5" spans="1:9" ht="30" customHeight="1">
      <c r="A5" s="67"/>
      <c r="I5" s="67"/>
    </row>
    <row r="6" spans="1:9">
      <c r="A6" s="67"/>
      <c r="I6" s="67"/>
    </row>
    <row r="7" spans="1:9">
      <c r="A7" s="138"/>
      <c r="B7" s="104"/>
      <c r="C7" s="104"/>
      <c r="D7" s="104"/>
      <c r="E7" s="104"/>
      <c r="F7" s="104"/>
      <c r="G7" s="104"/>
      <c r="H7" s="104"/>
      <c r="I7" s="138"/>
    </row>
    <row r="8" spans="1:9">
      <c r="B8" s="63" t="s">
        <v>213</v>
      </c>
    </row>
    <row r="9" spans="1:9">
      <c r="A9" s="67"/>
      <c r="B9" s="459"/>
      <c r="C9" s="459"/>
      <c r="D9" s="459"/>
      <c r="E9" s="459"/>
      <c r="F9" s="459"/>
      <c r="G9" s="459"/>
      <c r="H9" s="459"/>
    </row>
    <row r="10" spans="1:9" ht="25.5">
      <c r="A10" s="67"/>
      <c r="B10" s="122" t="s">
        <v>183</v>
      </c>
      <c r="C10" s="122" t="s">
        <v>184</v>
      </c>
      <c r="D10" s="122" t="s">
        <v>185</v>
      </c>
      <c r="E10" s="122" t="s">
        <v>186</v>
      </c>
      <c r="F10" s="122" t="s">
        <v>187</v>
      </c>
      <c r="G10" s="122" t="s">
        <v>188</v>
      </c>
      <c r="H10" s="122" t="s">
        <v>189</v>
      </c>
    </row>
    <row r="11" spans="1:9">
      <c r="A11" s="67"/>
      <c r="B11" s="142">
        <v>0.20833333333333334</v>
      </c>
      <c r="C11" s="428">
        <v>3894</v>
      </c>
      <c r="D11" s="428">
        <v>6914.12</v>
      </c>
      <c r="E11" s="428">
        <v>161.91508611111112</v>
      </c>
      <c r="F11" s="428">
        <v>42.7</v>
      </c>
      <c r="G11" s="428">
        <v>14.049849999999999</v>
      </c>
      <c r="H11" s="427">
        <v>3.6083333333333332E-3</v>
      </c>
    </row>
    <row r="12" spans="1:9">
      <c r="A12" s="67"/>
      <c r="B12" s="142">
        <v>0.25</v>
      </c>
      <c r="C12" s="428">
        <v>5288</v>
      </c>
      <c r="D12" s="428">
        <v>7927.27</v>
      </c>
      <c r="E12" s="428">
        <v>208.34698055555555</v>
      </c>
      <c r="F12" s="428">
        <v>38.049999999999997</v>
      </c>
      <c r="G12" s="428">
        <v>25.425666666666665</v>
      </c>
      <c r="H12" s="427">
        <v>4.8083333333333329E-3</v>
      </c>
    </row>
    <row r="13" spans="1:9">
      <c r="A13" s="67"/>
      <c r="B13" s="142">
        <v>0.29166666666666702</v>
      </c>
      <c r="C13" s="428">
        <v>5476</v>
      </c>
      <c r="D13" s="428">
        <v>8076.31</v>
      </c>
      <c r="E13" s="428">
        <v>212.54011666666668</v>
      </c>
      <c r="F13" s="428">
        <v>38</v>
      </c>
      <c r="G13" s="428">
        <v>25.565891666666669</v>
      </c>
      <c r="H13" s="427">
        <v>4.6666666666666671E-3</v>
      </c>
    </row>
    <row r="14" spans="1:9">
      <c r="A14" s="67"/>
      <c r="B14" s="142">
        <v>0.33333333333333298</v>
      </c>
      <c r="C14" s="428">
        <v>5763</v>
      </c>
      <c r="D14" s="428">
        <v>7786.61</v>
      </c>
      <c r="E14" s="428">
        <v>223.00074999999998</v>
      </c>
      <c r="F14" s="428">
        <v>34.92</v>
      </c>
      <c r="G14" s="428">
        <v>33.349019444444444</v>
      </c>
      <c r="H14" s="427">
        <v>5.7861111111111108E-3</v>
      </c>
    </row>
    <row r="15" spans="1:9">
      <c r="A15" s="67"/>
      <c r="B15" s="142">
        <v>0.375</v>
      </c>
      <c r="C15" s="428">
        <v>4009</v>
      </c>
      <c r="D15" s="428">
        <v>5220.41</v>
      </c>
      <c r="E15" s="428">
        <v>155.00225277777778</v>
      </c>
      <c r="F15" s="428">
        <v>33.68</v>
      </c>
      <c r="G15" s="428">
        <v>22.483830555555553</v>
      </c>
      <c r="H15" s="427">
        <v>5.6083333333333341E-3</v>
      </c>
    </row>
    <row r="16" spans="1:9">
      <c r="A16" s="67"/>
      <c r="B16" s="142">
        <v>0.41666666666666702</v>
      </c>
      <c r="C16" s="428">
        <v>3352</v>
      </c>
      <c r="D16" s="428">
        <v>4014.31</v>
      </c>
      <c r="E16" s="428">
        <v>129.18726666666666</v>
      </c>
      <c r="F16" s="428">
        <v>31.08</v>
      </c>
      <c r="G16" s="428">
        <v>21.807180555555558</v>
      </c>
      <c r="H16" s="427">
        <v>6.5055555555555561E-3</v>
      </c>
    </row>
    <row r="17" spans="1:8">
      <c r="A17" s="67"/>
      <c r="B17" s="142">
        <v>0.45833333333333298</v>
      </c>
      <c r="C17" s="428">
        <v>3974</v>
      </c>
      <c r="D17" s="428">
        <v>4655.05</v>
      </c>
      <c r="E17" s="428">
        <v>157.39630833333331</v>
      </c>
      <c r="F17" s="428">
        <v>29.58</v>
      </c>
      <c r="G17" s="428">
        <v>30.425019444444445</v>
      </c>
      <c r="H17" s="427">
        <v>7.6555555555555552E-3</v>
      </c>
    </row>
    <row r="18" spans="1:8">
      <c r="A18" s="67"/>
      <c r="B18" s="142">
        <v>0.5</v>
      </c>
      <c r="C18" s="428">
        <v>5677</v>
      </c>
      <c r="D18" s="428">
        <v>6835.32</v>
      </c>
      <c r="E18" s="428">
        <v>266.93051111111112</v>
      </c>
      <c r="F18" s="428">
        <v>27.02</v>
      </c>
      <c r="G18" s="428">
        <v>84.734405555555554</v>
      </c>
      <c r="H18" s="427">
        <v>1.6386111111111112E-2</v>
      </c>
    </row>
    <row r="19" spans="1:8">
      <c r="A19" s="67"/>
      <c r="B19" s="142">
        <v>0.54166666666666696</v>
      </c>
      <c r="C19" s="428">
        <v>5288</v>
      </c>
      <c r="D19" s="428">
        <v>6415.87</v>
      </c>
      <c r="E19" s="428">
        <v>306.17531111111111</v>
      </c>
      <c r="F19" s="428">
        <v>27.56</v>
      </c>
      <c r="G19" s="428">
        <v>138.62846111111111</v>
      </c>
      <c r="H19" s="427">
        <v>3.7475000000000001E-2</v>
      </c>
    </row>
    <row r="20" spans="1:8">
      <c r="A20" s="67"/>
      <c r="B20" s="142">
        <v>0.58333333333333304</v>
      </c>
      <c r="C20" s="428">
        <v>8374</v>
      </c>
      <c r="D20" s="428">
        <v>11023.9</v>
      </c>
      <c r="E20" s="428">
        <v>479.98664166666663</v>
      </c>
      <c r="F20" s="428">
        <v>28.63</v>
      </c>
      <c r="G20" s="428">
        <v>213.58366666666666</v>
      </c>
      <c r="H20" s="427">
        <v>3.9758333333333333E-2</v>
      </c>
    </row>
    <row r="21" spans="1:8">
      <c r="A21" s="67"/>
      <c r="B21" s="142">
        <v>0.625</v>
      </c>
      <c r="C21" s="428">
        <v>9353</v>
      </c>
      <c r="D21" s="428">
        <v>12035.5</v>
      </c>
      <c r="E21" s="428">
        <v>556.82640833333335</v>
      </c>
      <c r="F21" s="428">
        <v>25.91</v>
      </c>
      <c r="G21" s="428">
        <v>265.79694444444442</v>
      </c>
      <c r="H21" s="427">
        <v>4.3577777777777778E-2</v>
      </c>
    </row>
    <row r="22" spans="1:8">
      <c r="A22" s="67"/>
      <c r="B22" s="142">
        <v>0.66666666666666696</v>
      </c>
      <c r="C22" s="428">
        <v>7064</v>
      </c>
      <c r="D22" s="428">
        <v>8742.8700000000008</v>
      </c>
      <c r="E22" s="428">
        <v>442.19219999999996</v>
      </c>
      <c r="F22" s="428">
        <v>26.88</v>
      </c>
      <c r="G22" s="428">
        <v>226.22160555555556</v>
      </c>
      <c r="H22" s="427">
        <v>5.2069444444444439E-2</v>
      </c>
    </row>
    <row r="23" spans="1:8">
      <c r="A23" s="67"/>
      <c r="B23" s="142">
        <v>0.70833333333333304</v>
      </c>
      <c r="C23" s="428">
        <v>6217</v>
      </c>
      <c r="D23" s="428">
        <v>7606.73</v>
      </c>
      <c r="E23" s="428">
        <v>375.09713333333332</v>
      </c>
      <c r="F23" s="428">
        <v>29.34</v>
      </c>
      <c r="G23" s="428">
        <v>185.27214722222223</v>
      </c>
      <c r="H23" s="427">
        <v>4.9427777777777779E-2</v>
      </c>
    </row>
    <row r="24" spans="1:8">
      <c r="A24" s="67"/>
      <c r="B24" s="142">
        <v>0.75</v>
      </c>
      <c r="C24" s="428">
        <v>4027</v>
      </c>
      <c r="D24" s="428">
        <v>4545.1400000000003</v>
      </c>
      <c r="E24" s="428">
        <v>286.65620000000001</v>
      </c>
      <c r="F24" s="428">
        <v>28.11</v>
      </c>
      <c r="G24" s="428">
        <v>166.33081111111113</v>
      </c>
      <c r="H24" s="427">
        <v>6.0219444444444443E-2</v>
      </c>
    </row>
    <row r="25" spans="1:8">
      <c r="A25" s="67"/>
      <c r="B25" s="142">
        <v>0.79166666666666663</v>
      </c>
      <c r="C25" s="428">
        <v>2843</v>
      </c>
      <c r="D25" s="428">
        <v>3201.05</v>
      </c>
      <c r="E25" s="428">
        <v>242.08404999999999</v>
      </c>
      <c r="F25" s="428">
        <v>28.75</v>
      </c>
      <c r="G25" s="428">
        <v>157.63545833333333</v>
      </c>
      <c r="H25" s="427">
        <v>6.3955555555555557E-2</v>
      </c>
    </row>
    <row r="26" spans="1:8">
      <c r="A26" s="67"/>
      <c r="B26" s="130" t="s">
        <v>28</v>
      </c>
      <c r="C26" s="152">
        <f>SUBTOTAL(109,Table3C.1_57TTS_NB105[Total Vehicles in Network])</f>
        <v>80599</v>
      </c>
      <c r="D26" s="152">
        <f>SUBTOTAL(109,Table3C.1_57TTS_NB105[VMT: Total Path Distance (mi)])</f>
        <v>105000.45999999999</v>
      </c>
      <c r="E26" s="152">
        <f>SUBTOTAL(109,Table3C.1_57TTS_NB105[VHT: Total Time in Network (hr)])</f>
        <v>4203.3372166666668</v>
      </c>
      <c r="F26" s="152">
        <f>SUBTOTAL(101,Table3C.1_57TTS_NB105[Average Speed (mph)])</f>
        <v>31.347333333333331</v>
      </c>
      <c r="G26" s="152">
        <f>SUBTOTAL(109,Table3C.1_57TTS_NB105[Total Delay (hr)])</f>
        <v>1611.3099583333335</v>
      </c>
      <c r="H26" s="152">
        <f>SUBTOTAL(101,Table3C.1_57TTS_NB105[Average Delay (hr/veh)])</f>
        <v>2.676722222222222E-2</v>
      </c>
    </row>
    <row r="27" spans="1:8">
      <c r="A27" s="67"/>
    </row>
    <row r="28" spans="1:8">
      <c r="A28" s="67"/>
      <c r="B28" s="121" t="s">
        <v>214</v>
      </c>
      <c r="C28" s="89"/>
      <c r="D28" s="89"/>
      <c r="E28" s="89"/>
      <c r="F28" s="89"/>
      <c r="G28" s="89"/>
      <c r="H28" s="89"/>
    </row>
    <row r="29" spans="1:8" ht="12.75" customHeight="1">
      <c r="A29" s="67"/>
      <c r="B29" s="459"/>
      <c r="C29" s="459"/>
      <c r="D29" s="459"/>
      <c r="E29" s="459"/>
      <c r="F29" s="459"/>
      <c r="G29" s="459"/>
      <c r="H29" s="459"/>
    </row>
    <row r="30" spans="1:8" ht="25.5">
      <c r="A30" s="67"/>
      <c r="B30" s="122" t="s">
        <v>183</v>
      </c>
      <c r="C30" s="122" t="s">
        <v>191</v>
      </c>
      <c r="D30" s="84" t="s">
        <v>192</v>
      </c>
      <c r="E30" s="122" t="s">
        <v>193</v>
      </c>
      <c r="F30" s="122" t="s">
        <v>194</v>
      </c>
      <c r="G30" s="122" t="s">
        <v>195</v>
      </c>
      <c r="H30" s="122" t="s">
        <v>196</v>
      </c>
    </row>
    <row r="31" spans="1:8">
      <c r="A31" s="67"/>
      <c r="B31" s="142">
        <v>0.20833333333333334</v>
      </c>
      <c r="C31" s="156">
        <v>0.94</v>
      </c>
      <c r="D31" s="156">
        <v>0.06</v>
      </c>
      <c r="E31" s="424">
        <f>C11*Table3C.2_57_Delay_NB107[[#This Row],[Car Traffic Share]]</f>
        <v>3660.3599999999997</v>
      </c>
      <c r="F31" s="424">
        <f>H11*Table3C.2_57_Delay_NB107[[#This Row],[Car Traffic]]</f>
        <v>13.207798999999998</v>
      </c>
      <c r="G31" s="424">
        <f>C11*Table3C.2_57_Delay_NB107[[#This Row],[Truck Traffic Share]]</f>
        <v>233.64</v>
      </c>
      <c r="H31" s="424">
        <f>H11*Table3C.2_57_Delay_NB107[[#This Row],[Truck Traffic]]</f>
        <v>0.84305099999999988</v>
      </c>
    </row>
    <row r="32" spans="1:8">
      <c r="A32" s="67"/>
      <c r="B32" s="142">
        <v>0.25</v>
      </c>
      <c r="C32" s="156">
        <v>0.94</v>
      </c>
      <c r="D32" s="156">
        <v>0.06</v>
      </c>
      <c r="E32" s="424">
        <f>C12*Table3C.2_57_Delay_NB107[[#This Row],[Car Traffic Share]]</f>
        <v>4970.7199999999993</v>
      </c>
      <c r="F32" s="424">
        <f>H12*Table3C.2_57_Delay_NB107[[#This Row],[Car Traffic]]</f>
        <v>23.90087866666666</v>
      </c>
      <c r="G32" s="424">
        <f>C12*Table3C.2_57_Delay_NB107[[#This Row],[Truck Traffic Share]]</f>
        <v>317.27999999999997</v>
      </c>
      <c r="H32" s="424">
        <f>H12*Table3C.2_57_Delay_NB107[[#This Row],[Truck Traffic]]</f>
        <v>1.5255879999999997</v>
      </c>
    </row>
    <row r="33" spans="1:8">
      <c r="A33" s="67"/>
      <c r="B33" s="142">
        <v>0.29166666666666702</v>
      </c>
      <c r="C33" s="156">
        <v>0.94</v>
      </c>
      <c r="D33" s="156">
        <v>0.06</v>
      </c>
      <c r="E33" s="424">
        <f>C13*Table3C.2_57_Delay_NB107[[#This Row],[Car Traffic Share]]</f>
        <v>5147.4399999999996</v>
      </c>
      <c r="F33" s="424">
        <f>H13*Table3C.2_57_Delay_NB107[[#This Row],[Car Traffic]]</f>
        <v>24.021386666666668</v>
      </c>
      <c r="G33" s="424">
        <f>C13*Table3C.2_57_Delay_NB107[[#This Row],[Truck Traffic Share]]</f>
        <v>328.56</v>
      </c>
      <c r="H33" s="424">
        <f>H13*Table3C.2_57_Delay_NB107[[#This Row],[Truck Traffic]]</f>
        <v>1.5332800000000002</v>
      </c>
    </row>
    <row r="34" spans="1:8">
      <c r="A34" s="67"/>
      <c r="B34" s="142">
        <v>0.33333333333333298</v>
      </c>
      <c r="C34" s="156">
        <v>0.94</v>
      </c>
      <c r="D34" s="156">
        <v>0.06</v>
      </c>
      <c r="E34" s="424">
        <f>C14*Table3C.2_57_Delay_NB107[[#This Row],[Car Traffic Share]]</f>
        <v>5417.2199999999993</v>
      </c>
      <c r="F34" s="424">
        <f>H14*Table3C.2_57_Delay_NB107[[#This Row],[Car Traffic]]</f>
        <v>31.344636833333329</v>
      </c>
      <c r="G34" s="424">
        <f>C14*Table3C.2_57_Delay_NB107[[#This Row],[Truck Traffic Share]]</f>
        <v>345.78</v>
      </c>
      <c r="H34" s="424">
        <f>H14*Table3C.2_57_Delay_NB107[[#This Row],[Truck Traffic]]</f>
        <v>2.0007214999999996</v>
      </c>
    </row>
    <row r="35" spans="1:8">
      <c r="A35" s="67"/>
      <c r="B35" s="142">
        <v>0.375</v>
      </c>
      <c r="C35" s="156">
        <v>0.94</v>
      </c>
      <c r="D35" s="156">
        <v>0.06</v>
      </c>
      <c r="E35" s="424">
        <f>C15*Table3C.2_57_Delay_NB107[[#This Row],[Car Traffic Share]]</f>
        <v>3768.4599999999996</v>
      </c>
      <c r="F35" s="424">
        <f>H15*Table3C.2_57_Delay_NB107[[#This Row],[Car Traffic]]</f>
        <v>21.134779833333333</v>
      </c>
      <c r="G35" s="424">
        <f>C15*Table3C.2_57_Delay_NB107[[#This Row],[Truck Traffic Share]]</f>
        <v>240.54</v>
      </c>
      <c r="H35" s="424">
        <f>H15*Table3C.2_57_Delay_NB107[[#This Row],[Truck Traffic]]</f>
        <v>1.3490285000000002</v>
      </c>
    </row>
    <row r="36" spans="1:8">
      <c r="A36" s="67"/>
      <c r="B36" s="142">
        <v>0.41666666666666702</v>
      </c>
      <c r="C36" s="156">
        <v>0.94</v>
      </c>
      <c r="D36" s="156">
        <v>0.06</v>
      </c>
      <c r="E36" s="424">
        <f>C16*Table3C.2_57_Delay_NB107[[#This Row],[Car Traffic Share]]</f>
        <v>3150.8799999999997</v>
      </c>
      <c r="F36" s="424">
        <f>H16*Table3C.2_57_Delay_NB107[[#This Row],[Car Traffic]]</f>
        <v>20.498224888888888</v>
      </c>
      <c r="G36" s="424">
        <f>C16*Table3C.2_57_Delay_NB107[[#This Row],[Truck Traffic Share]]</f>
        <v>201.12</v>
      </c>
      <c r="H36" s="424">
        <f>H16*Table3C.2_57_Delay_NB107[[#This Row],[Truck Traffic]]</f>
        <v>1.3083973333333334</v>
      </c>
    </row>
    <row r="37" spans="1:8">
      <c r="A37" s="67"/>
      <c r="B37" s="142">
        <v>0.45833333333333298</v>
      </c>
      <c r="C37" s="156">
        <v>0.94</v>
      </c>
      <c r="D37" s="156">
        <v>0.06</v>
      </c>
      <c r="E37" s="424">
        <f>C17*Table3C.2_57_Delay_NB107[[#This Row],[Car Traffic Share]]</f>
        <v>3735.56</v>
      </c>
      <c r="F37" s="424">
        <f>H17*Table3C.2_57_Delay_NB107[[#This Row],[Car Traffic]]</f>
        <v>28.59778711111111</v>
      </c>
      <c r="G37" s="424">
        <f>C17*Table3C.2_57_Delay_NB107[[#This Row],[Truck Traffic Share]]</f>
        <v>238.44</v>
      </c>
      <c r="H37" s="424">
        <f>H17*Table3C.2_57_Delay_NB107[[#This Row],[Truck Traffic]]</f>
        <v>1.8253906666666666</v>
      </c>
    </row>
    <row r="38" spans="1:8">
      <c r="A38" s="67"/>
      <c r="B38" s="142">
        <v>0.5</v>
      </c>
      <c r="C38" s="156">
        <v>0.94</v>
      </c>
      <c r="D38" s="156">
        <v>0.06</v>
      </c>
      <c r="E38" s="424">
        <f>C18*Table3C.2_57_Delay_NB107[[#This Row],[Car Traffic Share]]</f>
        <v>5336.38</v>
      </c>
      <c r="F38" s="424">
        <f>H18*Table3C.2_57_Delay_NB107[[#This Row],[Car Traffic]]</f>
        <v>87.442515611111119</v>
      </c>
      <c r="G38" s="424">
        <f>C18*Table3C.2_57_Delay_NB107[[#This Row],[Truck Traffic Share]]</f>
        <v>340.62</v>
      </c>
      <c r="H38" s="424">
        <f>H18*Table3C.2_57_Delay_NB107[[#This Row],[Truck Traffic]]</f>
        <v>5.5814371666666673</v>
      </c>
    </row>
    <row r="39" spans="1:8">
      <c r="A39" s="67"/>
      <c r="B39" s="142">
        <v>0.54166666666666696</v>
      </c>
      <c r="C39" s="156">
        <v>0.94</v>
      </c>
      <c r="D39" s="156">
        <v>0.06</v>
      </c>
      <c r="E39" s="424">
        <f>C19*Table3C.2_57_Delay_NB107[[#This Row],[Car Traffic Share]]</f>
        <v>4970.7199999999993</v>
      </c>
      <c r="F39" s="424">
        <f>H19*Table3C.2_57_Delay_NB107[[#This Row],[Car Traffic]]</f>
        <v>186.27773199999999</v>
      </c>
      <c r="G39" s="424">
        <f>C19*Table3C.2_57_Delay_NB107[[#This Row],[Truck Traffic Share]]</f>
        <v>317.27999999999997</v>
      </c>
      <c r="H39" s="424">
        <f>H19*Table3C.2_57_Delay_NB107[[#This Row],[Truck Traffic]]</f>
        <v>11.890067999999999</v>
      </c>
    </row>
    <row r="40" spans="1:8">
      <c r="A40" s="67"/>
      <c r="B40" s="142">
        <v>0.58333333333333304</v>
      </c>
      <c r="C40" s="156">
        <v>0.94</v>
      </c>
      <c r="D40" s="156">
        <v>0.06</v>
      </c>
      <c r="E40" s="424">
        <f>C20*Table3C.2_57_Delay_NB107[[#This Row],[Car Traffic Share]]</f>
        <v>7871.5599999999995</v>
      </c>
      <c r="F40" s="424">
        <f>H20*Table3C.2_57_Delay_NB107[[#This Row],[Car Traffic]]</f>
        <v>312.96010633333333</v>
      </c>
      <c r="G40" s="424">
        <f>C20*Table3C.2_57_Delay_NB107[[#This Row],[Truck Traffic Share]]</f>
        <v>502.44</v>
      </c>
      <c r="H40" s="424">
        <f>H20*Table3C.2_57_Delay_NB107[[#This Row],[Truck Traffic]]</f>
        <v>19.976177</v>
      </c>
    </row>
    <row r="41" spans="1:8">
      <c r="A41" s="67"/>
      <c r="B41" s="142">
        <v>0.625</v>
      </c>
      <c r="C41" s="156">
        <v>0.94</v>
      </c>
      <c r="D41" s="156">
        <v>0.06</v>
      </c>
      <c r="E41" s="424">
        <f>C21*Table3C.2_57_Delay_NB107[[#This Row],[Car Traffic Share]]</f>
        <v>8791.82</v>
      </c>
      <c r="F41" s="424">
        <f>H21*Table3C.2_57_Delay_NB107[[#This Row],[Car Traffic]]</f>
        <v>383.12797822222223</v>
      </c>
      <c r="G41" s="424">
        <f>C21*Table3C.2_57_Delay_NB107[[#This Row],[Truck Traffic Share]]</f>
        <v>561.17999999999995</v>
      </c>
      <c r="H41" s="424">
        <f>H21*Table3C.2_57_Delay_NB107[[#This Row],[Truck Traffic]]</f>
        <v>24.454977333333332</v>
      </c>
    </row>
    <row r="42" spans="1:8">
      <c r="A42" s="67"/>
      <c r="B42" s="142">
        <v>0.66666666666666696</v>
      </c>
      <c r="C42" s="156">
        <v>0.94</v>
      </c>
      <c r="D42" s="156">
        <v>0.06</v>
      </c>
      <c r="E42" s="424">
        <f>C22*Table3C.2_57_Delay_NB107[[#This Row],[Car Traffic Share]]</f>
        <v>6640.16</v>
      </c>
      <c r="F42" s="424">
        <f>H22*Table3C.2_57_Delay_NB107[[#This Row],[Car Traffic]]</f>
        <v>345.74944222222217</v>
      </c>
      <c r="G42" s="424">
        <f>C22*Table3C.2_57_Delay_NB107[[#This Row],[Truck Traffic Share]]</f>
        <v>423.84</v>
      </c>
      <c r="H42" s="424">
        <f>H22*Table3C.2_57_Delay_NB107[[#This Row],[Truck Traffic]]</f>
        <v>22.06911333333333</v>
      </c>
    </row>
    <row r="43" spans="1:8">
      <c r="A43" s="67"/>
      <c r="B43" s="142">
        <v>0.70833333333333304</v>
      </c>
      <c r="C43" s="156">
        <v>0.94</v>
      </c>
      <c r="D43" s="156">
        <v>0.06</v>
      </c>
      <c r="E43" s="424">
        <f>C23*Table3C.2_57_Delay_NB107[[#This Row],[Car Traffic Share]]</f>
        <v>5843.98</v>
      </c>
      <c r="F43" s="424">
        <f>H23*Table3C.2_57_Delay_NB107[[#This Row],[Car Traffic]]</f>
        <v>288.85494477777775</v>
      </c>
      <c r="G43" s="424">
        <f>C23*Table3C.2_57_Delay_NB107[[#This Row],[Truck Traffic Share]]</f>
        <v>373.02</v>
      </c>
      <c r="H43" s="424">
        <f>H23*Table3C.2_57_Delay_NB107[[#This Row],[Truck Traffic]]</f>
        <v>18.437549666666666</v>
      </c>
    </row>
    <row r="44" spans="1:8">
      <c r="A44" s="67"/>
      <c r="B44" s="142">
        <v>0.75</v>
      </c>
      <c r="C44" s="156">
        <v>0.94</v>
      </c>
      <c r="D44" s="156">
        <v>0.06</v>
      </c>
      <c r="E44" s="424">
        <f>C24*Table3C.2_57_Delay_NB107[[#This Row],[Car Traffic Share]]</f>
        <v>3785.3799999999997</v>
      </c>
      <c r="F44" s="424">
        <f>H24*Table3C.2_57_Delay_NB107[[#This Row],[Car Traffic]]</f>
        <v>227.95348061111108</v>
      </c>
      <c r="G44" s="424">
        <f>C24*Table3C.2_57_Delay_NB107[[#This Row],[Truck Traffic Share]]</f>
        <v>241.62</v>
      </c>
      <c r="H44" s="424">
        <f>H24*Table3C.2_57_Delay_NB107[[#This Row],[Truck Traffic]]</f>
        <v>14.550222166666666</v>
      </c>
    </row>
    <row r="45" spans="1:8" ht="13.5" thickBot="1">
      <c r="A45" s="67"/>
      <c r="B45" s="142">
        <v>0.79166666666666663</v>
      </c>
      <c r="C45" s="158">
        <v>0.94</v>
      </c>
      <c r="D45" s="158">
        <v>0.06</v>
      </c>
      <c r="E45" s="423">
        <f>C25*Table3C.2_57_Delay_NB107[[#This Row],[Car Traffic Share]]</f>
        <v>2672.42</v>
      </c>
      <c r="F45" s="423">
        <f>H25*Table3C.2_57_Delay_NB107[[#This Row],[Car Traffic]]</f>
        <v>170.91610577777777</v>
      </c>
      <c r="G45" s="423">
        <f>C25*Table3C.2_57_Delay_NB107[[#This Row],[Truck Traffic Share]]</f>
        <v>170.57999999999998</v>
      </c>
      <c r="H45" s="423">
        <f>H25*Table3C.2_57_Delay_NB107[[#This Row],[Truck Traffic]]</f>
        <v>10.909538666666666</v>
      </c>
    </row>
    <row r="46" spans="1:8" ht="13.5" thickTop="1">
      <c r="A46" s="67"/>
      <c r="B46" s="90" t="s">
        <v>28</v>
      </c>
      <c r="C46" s="81"/>
      <c r="D46" s="81"/>
      <c r="E46" s="153">
        <f>SUBTOTAL(109,Table3C.2_57_Delay_NB107[Car Traffic])</f>
        <v>75763.06</v>
      </c>
      <c r="F46" s="153">
        <f>SUBTOTAL(109,Table3C.2_57_Delay_NB107[Car Delay 
(hrs)])</f>
        <v>2165.9877985555554</v>
      </c>
      <c r="G46" s="153">
        <f>SUBTOTAL(109,Table3C.2_57_Delay_NB107[Truck Traffic])</f>
        <v>4835.9399999999996</v>
      </c>
      <c r="H46" s="153">
        <f>SUBTOTAL(109,Table3C.2_57_Delay_NB107[Truck Delay (hrs)])</f>
        <v>138.25454033333335</v>
      </c>
    </row>
    <row r="47" spans="1:8">
      <c r="A47" s="67"/>
      <c r="C47" s="91"/>
      <c r="D47" s="90"/>
      <c r="E47" s="143"/>
      <c r="F47" s="144"/>
      <c r="G47" s="144"/>
      <c r="H47" s="144"/>
    </row>
    <row r="48" spans="1:8">
      <c r="A48" s="67"/>
      <c r="B48" s="63" t="s">
        <v>215</v>
      </c>
    </row>
    <row r="49" spans="1:8">
      <c r="A49" s="67"/>
      <c r="B49" s="459"/>
      <c r="C49" s="459"/>
      <c r="D49" s="459"/>
      <c r="E49" s="459"/>
      <c r="F49" s="459"/>
      <c r="G49" s="459"/>
      <c r="H49" s="459"/>
    </row>
    <row r="50" spans="1:8" ht="38.25">
      <c r="A50" s="67"/>
      <c r="B50" s="122" t="s">
        <v>183</v>
      </c>
      <c r="C50" s="122" t="s">
        <v>200</v>
      </c>
      <c r="D50" s="122" t="s">
        <v>185</v>
      </c>
      <c r="E50" s="122" t="s">
        <v>201</v>
      </c>
      <c r="F50" s="122" t="s">
        <v>187</v>
      </c>
      <c r="G50" s="122" t="s">
        <v>202</v>
      </c>
      <c r="H50" s="122" t="s">
        <v>203</v>
      </c>
    </row>
    <row r="51" spans="1:8">
      <c r="A51" s="67"/>
      <c r="B51" s="142">
        <v>0.20833333333333334</v>
      </c>
      <c r="C51" s="428">
        <v>3892</v>
      </c>
      <c r="D51" s="428">
        <v>6908.28</v>
      </c>
      <c r="E51" s="428">
        <v>153.50464722222222</v>
      </c>
      <c r="F51" s="428">
        <v>45.01</v>
      </c>
      <c r="G51" s="428">
        <v>10.407569444444444</v>
      </c>
      <c r="H51" s="427">
        <v>2.6722222222222221E-3</v>
      </c>
    </row>
    <row r="52" spans="1:8">
      <c r="A52" s="67"/>
      <c r="B52" s="142">
        <v>0.25</v>
      </c>
      <c r="C52" s="428">
        <v>5282</v>
      </c>
      <c r="D52" s="428">
        <v>7964.36</v>
      </c>
      <c r="E52" s="428">
        <v>193.16206666666665</v>
      </c>
      <c r="F52" s="428">
        <v>41.23</v>
      </c>
      <c r="G52" s="428">
        <v>18.984027777777779</v>
      </c>
      <c r="H52" s="427">
        <v>3.5916666666666666E-3</v>
      </c>
    </row>
    <row r="53" spans="1:8">
      <c r="A53" s="67"/>
      <c r="B53" s="142">
        <v>0.29166666666666702</v>
      </c>
      <c r="C53" s="428">
        <v>5457</v>
      </c>
      <c r="D53" s="428">
        <v>8090.62</v>
      </c>
      <c r="E53" s="428">
        <v>199.0056888888889</v>
      </c>
      <c r="F53" s="428">
        <v>40.659999999999997</v>
      </c>
      <c r="G53" s="428">
        <v>22.233527777777777</v>
      </c>
      <c r="H53" s="427">
        <v>4.0722222222222219E-3</v>
      </c>
    </row>
    <row r="54" spans="1:8">
      <c r="A54" s="67"/>
      <c r="B54" s="142">
        <v>0.33333333333333298</v>
      </c>
      <c r="C54" s="428">
        <v>5749</v>
      </c>
      <c r="D54" s="428">
        <v>7839.82</v>
      </c>
      <c r="E54" s="428">
        <v>208.54569722222223</v>
      </c>
      <c r="F54" s="428">
        <v>37.6</v>
      </c>
      <c r="G54" s="428">
        <v>30.056058333333333</v>
      </c>
      <c r="H54" s="427">
        <v>5.2249999999999996E-3</v>
      </c>
    </row>
    <row r="55" spans="1:8">
      <c r="A55" s="67"/>
      <c r="B55" s="142">
        <v>0.375</v>
      </c>
      <c r="C55" s="428">
        <v>3997</v>
      </c>
      <c r="D55" s="428">
        <v>5227.3100000000004</v>
      </c>
      <c r="E55" s="428">
        <v>142.67202777777777</v>
      </c>
      <c r="F55" s="428">
        <v>36.64</v>
      </c>
      <c r="G55" s="428">
        <v>19.472594444444443</v>
      </c>
      <c r="H55" s="427">
        <v>4.8722222222222222E-3</v>
      </c>
    </row>
    <row r="56" spans="1:8">
      <c r="A56" s="67"/>
      <c r="B56" s="142">
        <v>0.41666666666666702</v>
      </c>
      <c r="C56" s="428">
        <v>3338</v>
      </c>
      <c r="D56" s="428">
        <v>4028.54</v>
      </c>
      <c r="E56" s="428">
        <v>115.31275000000001</v>
      </c>
      <c r="F56" s="428">
        <v>34.94</v>
      </c>
      <c r="G56" s="428">
        <v>15.719216666666666</v>
      </c>
      <c r="H56" s="427">
        <v>4.7083333333333335E-3</v>
      </c>
    </row>
    <row r="57" spans="1:8">
      <c r="A57" s="67"/>
      <c r="B57" s="142">
        <v>0.45833333333333298</v>
      </c>
      <c r="C57" s="428">
        <v>3959</v>
      </c>
      <c r="D57" s="428">
        <v>4680.28</v>
      </c>
      <c r="E57" s="428">
        <v>140.04962500000002</v>
      </c>
      <c r="F57" s="428">
        <v>33.42</v>
      </c>
      <c r="G57" s="428">
        <v>21.985416666666666</v>
      </c>
      <c r="H57" s="427">
        <v>5.5527777777777771E-3</v>
      </c>
    </row>
    <row r="58" spans="1:8">
      <c r="A58" s="67"/>
      <c r="B58" s="142">
        <v>0.5</v>
      </c>
      <c r="C58" s="428">
        <v>5796</v>
      </c>
      <c r="D58" s="428">
        <v>7060</v>
      </c>
      <c r="E58" s="428">
        <v>217.46101944444445</v>
      </c>
      <c r="F58" s="428">
        <v>32.47</v>
      </c>
      <c r="G58" s="428">
        <v>43.206397222222222</v>
      </c>
      <c r="H58" s="427">
        <v>7.4527777777777769E-3</v>
      </c>
    </row>
    <row r="59" spans="1:8">
      <c r="A59" s="67"/>
      <c r="B59" s="142">
        <v>0.54166666666666696</v>
      </c>
      <c r="C59" s="428">
        <v>5493</v>
      </c>
      <c r="D59" s="428">
        <v>6805.74</v>
      </c>
      <c r="E59" s="428">
        <v>199.57030833333332</v>
      </c>
      <c r="F59" s="428">
        <v>34.1</v>
      </c>
      <c r="G59" s="428">
        <v>33.553322222222221</v>
      </c>
      <c r="H59" s="427">
        <v>6.1083333333333328E-3</v>
      </c>
    </row>
    <row r="60" spans="1:8">
      <c r="A60" s="67"/>
      <c r="B60" s="142">
        <v>0.58333333333333304</v>
      </c>
      <c r="C60" s="428">
        <v>8813</v>
      </c>
      <c r="D60" s="428">
        <v>11911.38</v>
      </c>
      <c r="E60" s="428">
        <v>350.18265555555558</v>
      </c>
      <c r="F60" s="428">
        <v>34.020000000000003</v>
      </c>
      <c r="G60" s="428">
        <v>78.268058333333329</v>
      </c>
      <c r="H60" s="427">
        <v>8.8805555555555547E-3</v>
      </c>
    </row>
    <row r="61" spans="1:8">
      <c r="A61" s="67"/>
      <c r="B61" s="142">
        <v>0.625</v>
      </c>
      <c r="C61" s="428">
        <v>9901</v>
      </c>
      <c r="D61" s="428">
        <v>13109.21</v>
      </c>
      <c r="E61" s="428">
        <v>435.45309166666664</v>
      </c>
      <c r="F61" s="428">
        <v>30.15</v>
      </c>
      <c r="G61" s="428">
        <v>135.88607222222223</v>
      </c>
      <c r="H61" s="427">
        <v>1.3716666666666667E-2</v>
      </c>
    </row>
    <row r="62" spans="1:8">
      <c r="A62" s="67"/>
      <c r="B62" s="142">
        <v>0.66666666666666696</v>
      </c>
      <c r="C62" s="428">
        <v>7404</v>
      </c>
      <c r="D62" s="428">
        <v>9373.75</v>
      </c>
      <c r="E62" s="428">
        <v>283.13707222222223</v>
      </c>
      <c r="F62" s="428">
        <v>33.21</v>
      </c>
      <c r="G62" s="428">
        <v>64.370611111111117</v>
      </c>
      <c r="H62" s="427">
        <v>8.6722222222222218E-3</v>
      </c>
    </row>
    <row r="63" spans="1:8">
      <c r="A63" s="67"/>
      <c r="B63" s="142">
        <v>0.70833333333333304</v>
      </c>
      <c r="C63" s="428">
        <v>6536</v>
      </c>
      <c r="D63" s="428">
        <v>8282.59</v>
      </c>
      <c r="E63" s="428">
        <v>235.22205833333334</v>
      </c>
      <c r="F63" s="428">
        <v>35.21</v>
      </c>
      <c r="G63" s="428">
        <v>40.357977777777776</v>
      </c>
      <c r="H63" s="427">
        <v>6.1749999999999999E-3</v>
      </c>
    </row>
    <row r="64" spans="1:8">
      <c r="A64" s="67"/>
      <c r="B64" s="142">
        <v>0.75</v>
      </c>
      <c r="C64" s="428">
        <v>4172</v>
      </c>
      <c r="D64" s="428">
        <v>4971.1400000000003</v>
      </c>
      <c r="E64" s="428">
        <v>145.74151944444444</v>
      </c>
      <c r="F64" s="428">
        <v>34.11</v>
      </c>
      <c r="G64" s="428">
        <v>22.118458333333333</v>
      </c>
      <c r="H64" s="427">
        <v>5.2999999999999992E-3</v>
      </c>
    </row>
    <row r="65" spans="1:8">
      <c r="A65" s="67"/>
      <c r="B65" s="142">
        <v>0.79166666666666663</v>
      </c>
      <c r="C65" s="428">
        <v>2872</v>
      </c>
      <c r="D65" s="428">
        <v>3454.2</v>
      </c>
      <c r="E65" s="428">
        <v>97.894552777777776</v>
      </c>
      <c r="F65" s="428">
        <v>35.28</v>
      </c>
      <c r="G65" s="428">
        <v>11.953213888888889</v>
      </c>
      <c r="H65" s="427">
        <v>4.1611111111111111E-3</v>
      </c>
    </row>
    <row r="66" spans="1:8">
      <c r="A66" s="67"/>
      <c r="B66" s="130" t="s">
        <v>28</v>
      </c>
      <c r="C66" s="152">
        <f>SUBTOTAL(109,Table3C.3_57TTS_PA106[Total Vehicles Traveling Within the Network])</f>
        <v>82661</v>
      </c>
      <c r="D66" s="152">
        <f>SUBTOTAL(109,Table3C.3_57TTS_PA106[VMT: Total Path Distance (mi)])</f>
        <v>109707.22</v>
      </c>
      <c r="E66" s="152">
        <f>SUBTOTAL(109,Table3C.3_57TTS_PA106[VHT: Total Time Within the Network (hr)])</f>
        <v>3116.9147805555554</v>
      </c>
      <c r="F66" s="152">
        <f>SUBTOTAL(101,Table3C.3_57TTS_PA106[Average Speed (mph)])</f>
        <v>35.869999999999997</v>
      </c>
      <c r="G66" s="152">
        <f>SUBTOTAL(109,Table3C.3_57TTS_PA106[Total Delay: All Vehicles (hr)])</f>
        <v>568.57252222222223</v>
      </c>
      <c r="H66" s="152">
        <f>SUBTOTAL(101,Table3C.3_57TTS_PA106[Average Delay: Per Vehicle (hr/veh)])</f>
        <v>6.0774074074074072E-3</v>
      </c>
    </row>
    <row r="67" spans="1:8">
      <c r="A67" s="67"/>
    </row>
    <row r="68" spans="1:8" ht="13.5" customHeight="1">
      <c r="A68" s="67"/>
      <c r="B68" s="63" t="s">
        <v>216</v>
      </c>
    </row>
    <row r="69" spans="1:8">
      <c r="A69" s="67"/>
      <c r="B69" s="459"/>
      <c r="C69" s="459"/>
      <c r="D69" s="459"/>
      <c r="E69" s="459"/>
      <c r="F69" s="459"/>
      <c r="G69" s="459"/>
      <c r="H69" s="459"/>
    </row>
    <row r="70" spans="1:8" ht="25.5">
      <c r="A70" s="67"/>
      <c r="B70" s="122" t="s">
        <v>183</v>
      </c>
      <c r="C70" s="122" t="s">
        <v>191</v>
      </c>
      <c r="D70" s="84" t="s">
        <v>192</v>
      </c>
      <c r="E70" s="122" t="s">
        <v>193</v>
      </c>
      <c r="F70" s="122" t="s">
        <v>194</v>
      </c>
      <c r="G70" s="122" t="s">
        <v>195</v>
      </c>
      <c r="H70" s="122" t="s">
        <v>196</v>
      </c>
    </row>
    <row r="71" spans="1:8">
      <c r="A71" s="67"/>
      <c r="B71" s="142">
        <v>0.20833333333333334</v>
      </c>
      <c r="C71" s="156">
        <v>0.94</v>
      </c>
      <c r="D71" s="156">
        <v>0.06</v>
      </c>
      <c r="E71" s="424">
        <f>C51*Table3C.4_57Delay_PA108[[#This Row],[Car Traffic Share]]</f>
        <v>3658.48</v>
      </c>
      <c r="F71" s="424">
        <f>H51*Table3C.4_57Delay_PA108[[#This Row],[Car Traffic]]</f>
        <v>9.7762715555555548</v>
      </c>
      <c r="G71" s="424">
        <f>C51*Table3C.4_57Delay_PA108[[#This Row],[Truck Traffic Share]]</f>
        <v>233.51999999999998</v>
      </c>
      <c r="H71" s="424">
        <f>H51*Table3C.4_57Delay_PA108[[#This Row],[Truck Traffic]]</f>
        <v>0.6240173333333332</v>
      </c>
    </row>
    <row r="72" spans="1:8">
      <c r="A72" s="67"/>
      <c r="B72" s="142">
        <v>0.25</v>
      </c>
      <c r="C72" s="156">
        <v>0.94</v>
      </c>
      <c r="D72" s="156">
        <v>0.06</v>
      </c>
      <c r="E72" s="424">
        <f>C52*Table3C.4_57Delay_PA108[[#This Row],[Car Traffic Share]]</f>
        <v>4965.08</v>
      </c>
      <c r="F72" s="424">
        <f>H52*Table3C.4_57Delay_PA108[[#This Row],[Car Traffic]]</f>
        <v>17.832912333333333</v>
      </c>
      <c r="G72" s="424">
        <f>C52*Table3C.4_57Delay_PA108[[#This Row],[Truck Traffic Share]]</f>
        <v>316.92</v>
      </c>
      <c r="H72" s="424">
        <f>H52*Table3C.4_57Delay_PA108[[#This Row],[Truck Traffic]]</f>
        <v>1.138271</v>
      </c>
    </row>
    <row r="73" spans="1:8">
      <c r="A73" s="67"/>
      <c r="B73" s="142">
        <v>0.29166666666666702</v>
      </c>
      <c r="C73" s="156">
        <v>0.94</v>
      </c>
      <c r="D73" s="156">
        <v>0.06</v>
      </c>
      <c r="E73" s="424">
        <f>C53*Table3C.4_57Delay_PA108[[#This Row],[Car Traffic Share]]</f>
        <v>5129.58</v>
      </c>
      <c r="F73" s="424">
        <f>H53*Table3C.4_57Delay_PA108[[#This Row],[Car Traffic]]</f>
        <v>20.888789666666664</v>
      </c>
      <c r="G73" s="424">
        <f>C53*Table3C.4_57Delay_PA108[[#This Row],[Truck Traffic Share]]</f>
        <v>327.42</v>
      </c>
      <c r="H73" s="424">
        <f>H53*Table3C.4_57Delay_PA108[[#This Row],[Truck Traffic]]</f>
        <v>1.3333269999999999</v>
      </c>
    </row>
    <row r="74" spans="1:8">
      <c r="A74" s="67"/>
      <c r="B74" s="142">
        <v>0.33333333333333298</v>
      </c>
      <c r="C74" s="156">
        <v>0.94</v>
      </c>
      <c r="D74" s="156">
        <v>0.06</v>
      </c>
      <c r="E74" s="424">
        <f>C54*Table3C.4_57Delay_PA108[[#This Row],[Car Traffic Share]]</f>
        <v>5404.0599999999995</v>
      </c>
      <c r="F74" s="424">
        <f>H54*Table3C.4_57Delay_PA108[[#This Row],[Car Traffic]]</f>
        <v>28.236213499999995</v>
      </c>
      <c r="G74" s="424">
        <f>C54*Table3C.4_57Delay_PA108[[#This Row],[Truck Traffic Share]]</f>
        <v>344.94</v>
      </c>
      <c r="H74" s="424">
        <f>H54*Table3C.4_57Delay_PA108[[#This Row],[Truck Traffic]]</f>
        <v>1.8023114999999998</v>
      </c>
    </row>
    <row r="75" spans="1:8">
      <c r="A75" s="67"/>
      <c r="B75" s="142">
        <v>0.375</v>
      </c>
      <c r="C75" s="156">
        <v>0.94</v>
      </c>
      <c r="D75" s="156">
        <v>0.06</v>
      </c>
      <c r="E75" s="424">
        <f>C55*Table3C.4_57Delay_PA108[[#This Row],[Car Traffic Share]]</f>
        <v>3757.18</v>
      </c>
      <c r="F75" s="424">
        <f>H55*Table3C.4_57Delay_PA108[[#This Row],[Car Traffic]]</f>
        <v>18.305815888888887</v>
      </c>
      <c r="G75" s="424">
        <f>C55*Table3C.4_57Delay_PA108[[#This Row],[Truck Traffic Share]]</f>
        <v>239.82</v>
      </c>
      <c r="H75" s="424">
        <f>H55*Table3C.4_57Delay_PA108[[#This Row],[Truck Traffic]]</f>
        <v>1.1684563333333333</v>
      </c>
    </row>
    <row r="76" spans="1:8">
      <c r="A76" s="67"/>
      <c r="B76" s="142">
        <v>0.41666666666666702</v>
      </c>
      <c r="C76" s="156">
        <v>0.94</v>
      </c>
      <c r="D76" s="156">
        <v>0.06</v>
      </c>
      <c r="E76" s="424">
        <f>C56*Table3C.4_57Delay_PA108[[#This Row],[Car Traffic Share]]</f>
        <v>3137.72</v>
      </c>
      <c r="F76" s="424">
        <f>H56*Table3C.4_57Delay_PA108[[#This Row],[Car Traffic]]</f>
        <v>14.773431666666665</v>
      </c>
      <c r="G76" s="424">
        <f>C56*Table3C.4_57Delay_PA108[[#This Row],[Truck Traffic Share]]</f>
        <v>200.28</v>
      </c>
      <c r="H76" s="424">
        <f>H56*Table3C.4_57Delay_PA108[[#This Row],[Truck Traffic]]</f>
        <v>0.94298500000000007</v>
      </c>
    </row>
    <row r="77" spans="1:8">
      <c r="A77" s="67"/>
      <c r="B77" s="142">
        <v>0.45833333333333298</v>
      </c>
      <c r="C77" s="156">
        <v>0.94</v>
      </c>
      <c r="D77" s="156">
        <v>0.06</v>
      </c>
      <c r="E77" s="424">
        <f>C57*Table3C.4_57Delay_PA108[[#This Row],[Car Traffic Share]]</f>
        <v>3721.4599999999996</v>
      </c>
      <c r="F77" s="424">
        <f>H57*Table3C.4_57Delay_PA108[[#This Row],[Car Traffic]]</f>
        <v>20.664440388888885</v>
      </c>
      <c r="G77" s="424">
        <f>C57*Table3C.4_57Delay_PA108[[#This Row],[Truck Traffic Share]]</f>
        <v>237.54</v>
      </c>
      <c r="H77" s="424">
        <f>H57*Table3C.4_57Delay_PA108[[#This Row],[Truck Traffic]]</f>
        <v>1.3190068333333331</v>
      </c>
    </row>
    <row r="78" spans="1:8">
      <c r="A78" s="67"/>
      <c r="B78" s="142">
        <v>0.5</v>
      </c>
      <c r="C78" s="156">
        <v>0.94</v>
      </c>
      <c r="D78" s="156">
        <v>0.06</v>
      </c>
      <c r="E78" s="424">
        <f>C58*Table3C.4_57Delay_PA108[[#This Row],[Car Traffic Share]]</f>
        <v>5448.24</v>
      </c>
      <c r="F78" s="424">
        <f>H58*Table3C.4_57Delay_PA108[[#This Row],[Car Traffic]]</f>
        <v>40.604521999999996</v>
      </c>
      <c r="G78" s="424">
        <f>C58*Table3C.4_57Delay_PA108[[#This Row],[Truck Traffic Share]]</f>
        <v>347.76</v>
      </c>
      <c r="H78" s="424">
        <f>H58*Table3C.4_57Delay_PA108[[#This Row],[Truck Traffic]]</f>
        <v>2.5917779999999997</v>
      </c>
    </row>
    <row r="79" spans="1:8">
      <c r="A79" s="67"/>
      <c r="B79" s="142">
        <v>0.54166666666666696</v>
      </c>
      <c r="C79" s="156">
        <v>0.94</v>
      </c>
      <c r="D79" s="156">
        <v>0.06</v>
      </c>
      <c r="E79" s="424">
        <f>C59*Table3C.4_57Delay_PA108[[#This Row],[Car Traffic Share]]</f>
        <v>5163.42</v>
      </c>
      <c r="F79" s="424">
        <f>H59*Table3C.4_57Delay_PA108[[#This Row],[Car Traffic]]</f>
        <v>31.539890499999998</v>
      </c>
      <c r="G79" s="424">
        <f>C59*Table3C.4_57Delay_PA108[[#This Row],[Truck Traffic Share]]</f>
        <v>329.58</v>
      </c>
      <c r="H79" s="424">
        <f>H59*Table3C.4_57Delay_PA108[[#This Row],[Truck Traffic]]</f>
        <v>2.0131844999999999</v>
      </c>
    </row>
    <row r="80" spans="1:8">
      <c r="A80" s="67"/>
      <c r="B80" s="142">
        <v>0.58333333333333304</v>
      </c>
      <c r="C80" s="156">
        <v>0.94</v>
      </c>
      <c r="D80" s="156">
        <v>0.06</v>
      </c>
      <c r="E80" s="424">
        <f>C60*Table3C.4_57Delay_PA108[[#This Row],[Car Traffic Share]]</f>
        <v>8284.2199999999993</v>
      </c>
      <c r="F80" s="424">
        <f>H60*Table3C.4_57Delay_PA108[[#This Row],[Car Traffic]]</f>
        <v>73.56847594444443</v>
      </c>
      <c r="G80" s="424">
        <f>C60*Table3C.4_57Delay_PA108[[#This Row],[Truck Traffic Share]]</f>
        <v>528.78</v>
      </c>
      <c r="H80" s="424">
        <f>H60*Table3C.4_57Delay_PA108[[#This Row],[Truck Traffic]]</f>
        <v>4.6958601666666659</v>
      </c>
    </row>
    <row r="81" spans="1:8">
      <c r="A81" s="67"/>
      <c r="B81" s="142">
        <v>0.625</v>
      </c>
      <c r="C81" s="156">
        <v>0.94</v>
      </c>
      <c r="D81" s="156">
        <v>0.06</v>
      </c>
      <c r="E81" s="424">
        <f>C61*Table3C.4_57Delay_PA108[[#This Row],[Car Traffic Share]]</f>
        <v>9306.9399999999987</v>
      </c>
      <c r="F81" s="424">
        <f>H61*Table3C.4_57Delay_PA108[[#This Row],[Car Traffic]]</f>
        <v>127.66019366666666</v>
      </c>
      <c r="G81" s="424">
        <f>C61*Table3C.4_57Delay_PA108[[#This Row],[Truck Traffic Share]]</f>
        <v>594.05999999999995</v>
      </c>
      <c r="H81" s="424">
        <f>H61*Table3C.4_57Delay_PA108[[#This Row],[Truck Traffic]]</f>
        <v>8.1485229999999991</v>
      </c>
    </row>
    <row r="82" spans="1:8">
      <c r="A82" s="67"/>
      <c r="B82" s="142">
        <v>0.66666666666666696</v>
      </c>
      <c r="C82" s="156">
        <v>0.94</v>
      </c>
      <c r="D82" s="156">
        <v>0.06</v>
      </c>
      <c r="E82" s="424">
        <f>C62*Table3C.4_57Delay_PA108[[#This Row],[Car Traffic Share]]</f>
        <v>6959.7599999999993</v>
      </c>
      <c r="F82" s="424">
        <f>H62*Table3C.4_57Delay_PA108[[#This Row],[Car Traffic]]</f>
        <v>60.356585333333321</v>
      </c>
      <c r="G82" s="424">
        <f>C62*Table3C.4_57Delay_PA108[[#This Row],[Truck Traffic Share]]</f>
        <v>444.24</v>
      </c>
      <c r="H82" s="424">
        <f>H62*Table3C.4_57Delay_PA108[[#This Row],[Truck Traffic]]</f>
        <v>3.8525480000000001</v>
      </c>
    </row>
    <row r="83" spans="1:8">
      <c r="A83" s="67"/>
      <c r="B83" s="142">
        <v>0.70833333333333304</v>
      </c>
      <c r="C83" s="156">
        <v>0.94</v>
      </c>
      <c r="D83" s="156">
        <v>0.06</v>
      </c>
      <c r="E83" s="424">
        <f>C63*Table3C.4_57Delay_PA108[[#This Row],[Car Traffic Share]]</f>
        <v>6143.8399999999992</v>
      </c>
      <c r="F83" s="424">
        <f>H63*Table3C.4_57Delay_PA108[[#This Row],[Car Traffic]]</f>
        <v>37.938211999999993</v>
      </c>
      <c r="G83" s="424">
        <f>C63*Table3C.4_57Delay_PA108[[#This Row],[Truck Traffic Share]]</f>
        <v>392.15999999999997</v>
      </c>
      <c r="H83" s="424">
        <f>H63*Table3C.4_57Delay_PA108[[#This Row],[Truck Traffic]]</f>
        <v>2.4215879999999999</v>
      </c>
    </row>
    <row r="84" spans="1:8">
      <c r="A84" s="67"/>
      <c r="B84" s="142">
        <v>0.75</v>
      </c>
      <c r="C84" s="156">
        <v>0.94</v>
      </c>
      <c r="D84" s="156">
        <v>0.06</v>
      </c>
      <c r="E84" s="424">
        <f>C64*Table3C.4_57Delay_PA108[[#This Row],[Car Traffic Share]]</f>
        <v>3921.68</v>
      </c>
      <c r="F84" s="424">
        <f>H64*Table3C.4_57Delay_PA108[[#This Row],[Car Traffic]]</f>
        <v>20.784903999999997</v>
      </c>
      <c r="G84" s="424">
        <f>C64*Table3C.4_57Delay_PA108[[#This Row],[Truck Traffic Share]]</f>
        <v>250.32</v>
      </c>
      <c r="H84" s="424">
        <f>H64*Table3C.4_57Delay_PA108[[#This Row],[Truck Traffic]]</f>
        <v>1.3266959999999997</v>
      </c>
    </row>
    <row r="85" spans="1:8" ht="13.5" thickBot="1">
      <c r="B85" s="142">
        <v>0.79166666666666663</v>
      </c>
      <c r="C85" s="158">
        <v>0.94</v>
      </c>
      <c r="D85" s="158">
        <v>0.06</v>
      </c>
      <c r="E85" s="423">
        <f>C65*Table3C.4_57Delay_PA108[[#This Row],[Car Traffic Share]]</f>
        <v>2699.68</v>
      </c>
      <c r="F85" s="423">
        <f>H65*Table3C.4_57Delay_PA108[[#This Row],[Car Traffic]]</f>
        <v>11.233668444444444</v>
      </c>
      <c r="G85" s="423">
        <f>C65*Table3C.4_57Delay_PA108[[#This Row],[Truck Traffic Share]]</f>
        <v>172.32</v>
      </c>
      <c r="H85" s="423">
        <f>H65*Table3C.4_57Delay_PA108[[#This Row],[Truck Traffic]]</f>
        <v>0.71704266666666661</v>
      </c>
    </row>
    <row r="86" spans="1:8" ht="13.5" thickTop="1">
      <c r="B86" s="90" t="s">
        <v>28</v>
      </c>
      <c r="C86" s="81"/>
      <c r="D86" s="81"/>
      <c r="E86" s="153">
        <f>SUBTOTAL(109,Table3C.4_57Delay_PA108[Car Traffic])</f>
        <v>77701.339999999982</v>
      </c>
      <c r="F86" s="153">
        <f>SUBTOTAL(109,Table3C.4_57Delay_PA108[Car Delay 
(hrs)])</f>
        <v>534.16432688888881</v>
      </c>
      <c r="G86" s="153">
        <f>SUBTOTAL(109,Table3C.4_57Delay_PA108[Truck Traffic])</f>
        <v>4959.6599999999989</v>
      </c>
      <c r="H86" s="153">
        <f>SUBTOTAL(109,Table3C.4_57Delay_PA108[Truck Delay (hrs)])</f>
        <v>34.095595333333321</v>
      </c>
    </row>
    <row r="88" spans="1:8">
      <c r="B88" s="63" t="s">
        <v>217</v>
      </c>
    </row>
    <row r="89" spans="1:8">
      <c r="B89" s="459"/>
      <c r="C89" s="459"/>
      <c r="D89" s="459"/>
      <c r="E89" s="459"/>
      <c r="F89" s="459"/>
      <c r="G89" s="459"/>
      <c r="H89" s="459"/>
    </row>
    <row r="90" spans="1:8" ht="25.5">
      <c r="B90" s="122" t="s">
        <v>183</v>
      </c>
      <c r="C90" s="122" t="s">
        <v>206</v>
      </c>
      <c r="D90" s="84" t="s">
        <v>207</v>
      </c>
      <c r="E90" s="122" t="s">
        <v>208</v>
      </c>
      <c r="F90" s="122" t="s">
        <v>209</v>
      </c>
      <c r="G90" s="122" t="s">
        <v>210</v>
      </c>
      <c r="H90" s="122" t="s">
        <v>211</v>
      </c>
    </row>
    <row r="91" spans="1:8">
      <c r="B91" s="142">
        <v>0.20833333333333334</v>
      </c>
      <c r="C91" s="424">
        <f t="shared" ref="C91:C105" si="0">F31-F71</f>
        <v>3.431527444444443</v>
      </c>
      <c r="D91" s="424">
        <f t="shared" ref="D91:D105" si="1">H31-H71</f>
        <v>0.21903366666666668</v>
      </c>
      <c r="E91" s="414">
        <f>Table3C.7_57TTSMoney109[[#This Row],[Car Delay Savings (hrs)]]*All_Purpose_Travel*Passenger_Vehicles_Occupancy</f>
        <v>107.73623564577774</v>
      </c>
      <c r="F91" s="414">
        <f>Table3C.7_57TTSMoney109[[#This Row],[Truck Delay Savings (hrs)]]*Truck_Travel</f>
        <v>7.0966908000000002</v>
      </c>
      <c r="G91" s="414">
        <f>(Table3C.7_57TTSMoney109[[#This Row],[Truck Savings Benefits (Daily)]]+Table3C.7_57TTSMoney109[[#This Row],[Car Savings Benefits (Daily)]])*270</f>
        <v>31004.890140359992</v>
      </c>
      <c r="H91" s="414">
        <f>(Table3C.7_57TTSMoney109[[#This Row],[Car Savings Benefits (Daily)]]+Table3C.7_57TTSMoney109[[#This Row],[Truck Savings Benefits (Daily)]])*365</f>
        <v>41914.018152708879</v>
      </c>
    </row>
    <row r="92" spans="1:8">
      <c r="B92" s="142">
        <v>0.25</v>
      </c>
      <c r="C92" s="424">
        <f t="shared" si="0"/>
        <v>6.0679663333333274</v>
      </c>
      <c r="D92" s="424">
        <f t="shared" si="1"/>
        <v>0.38731699999999969</v>
      </c>
      <c r="E92" s="414">
        <f>Table3C.7_57TTSMoney109[[#This Row],[Car Delay Savings (hrs)]]*All_Purpose_Travel*Passenger_Vehicles_Occupancy</f>
        <v>190.50987100133312</v>
      </c>
      <c r="F92" s="414">
        <f>Table3C.7_57TTSMoney109[[#This Row],[Truck Delay Savings (hrs)]]*Truck_Travel</f>
        <v>12.54907079999999</v>
      </c>
      <c r="G92" s="414">
        <f>(Table3C.7_57TTSMoney109[[#This Row],[Truck Savings Benefits (Daily)]]+Table3C.7_57TTSMoney109[[#This Row],[Car Savings Benefits (Daily)]])*270</f>
        <v>54825.914286359941</v>
      </c>
      <c r="H92" s="414">
        <f>(Table3C.7_57TTSMoney109[[#This Row],[Car Savings Benefits (Daily)]]+Table3C.7_57TTSMoney109[[#This Row],[Truck Savings Benefits (Daily)]])*365</f>
        <v>74116.51375748658</v>
      </c>
    </row>
    <row r="93" spans="1:8">
      <c r="B93" s="142">
        <v>0.29166666666666702</v>
      </c>
      <c r="C93" s="424">
        <f t="shared" si="0"/>
        <v>3.1325970000000041</v>
      </c>
      <c r="D93" s="424">
        <f t="shared" si="1"/>
        <v>0.19995300000000027</v>
      </c>
      <c r="E93" s="414">
        <f>Table3C.7_57TTSMoney109[[#This Row],[Car Delay Savings (hrs)]]*All_Purpose_Travel*Passenger_Vehicles_Occupancy</f>
        <v>98.351015412000123</v>
      </c>
      <c r="F93" s="414">
        <f>Table3C.7_57TTSMoney109[[#This Row],[Truck Delay Savings (hrs)]]*Truck_Travel</f>
        <v>6.4784772000000084</v>
      </c>
      <c r="G93" s="414">
        <f>(Table3C.7_57TTSMoney109[[#This Row],[Truck Savings Benefits (Daily)]]+Table3C.7_57TTSMoney109[[#This Row],[Car Savings Benefits (Daily)]])*270</f>
        <v>28303.963005240039</v>
      </c>
      <c r="H93" s="414">
        <f>(Table3C.7_57TTSMoney109[[#This Row],[Car Savings Benefits (Daily)]]+Table3C.7_57TTSMoney109[[#This Row],[Truck Savings Benefits (Daily)]])*365</f>
        <v>38262.764803380051</v>
      </c>
    </row>
    <row r="94" spans="1:8">
      <c r="B94" s="142">
        <v>0.33333333333333298</v>
      </c>
      <c r="C94" s="424">
        <f t="shared" si="0"/>
        <v>3.1084233333333344</v>
      </c>
      <c r="D94" s="424">
        <f t="shared" si="1"/>
        <v>0.19840999999999975</v>
      </c>
      <c r="E94" s="414">
        <f>Table3C.7_57TTSMoney109[[#This Row],[Car Delay Savings (hrs)]]*All_Purpose_Travel*Passenger_Vehicles_Occupancy</f>
        <v>97.592058973333366</v>
      </c>
      <c r="F94" s="414">
        <f>Table3C.7_57TTSMoney109[[#This Row],[Truck Delay Savings (hrs)]]*Truck_Travel</f>
        <v>6.4284839999999921</v>
      </c>
      <c r="G94" s="414">
        <f>(Table3C.7_57TTSMoney109[[#This Row],[Truck Savings Benefits (Daily)]]+Table3C.7_57TTSMoney109[[#This Row],[Car Savings Benefits (Daily)]])*270</f>
        <v>28085.546602800008</v>
      </c>
      <c r="H94" s="414">
        <f>(Table3C.7_57TTSMoney109[[#This Row],[Car Savings Benefits (Daily)]]+Table3C.7_57TTSMoney109[[#This Row],[Truck Savings Benefits (Daily)]])*365</f>
        <v>37967.498185266675</v>
      </c>
    </row>
    <row r="95" spans="1:8">
      <c r="B95" s="142">
        <v>0.375</v>
      </c>
      <c r="C95" s="424">
        <f t="shared" si="0"/>
        <v>2.8289639444444461</v>
      </c>
      <c r="D95" s="424">
        <f t="shared" si="1"/>
        <v>0.18057216666666687</v>
      </c>
      <c r="E95" s="414">
        <f>Table3C.7_57TTSMoney109[[#This Row],[Car Delay Savings (hrs)]]*All_Purpose_Travel*Passenger_Vehicles_Occupancy</f>
        <v>88.818151999777839</v>
      </c>
      <c r="F95" s="414">
        <f>Table3C.7_57TTSMoney109[[#This Row],[Truck Delay Savings (hrs)]]*Truck_Travel</f>
        <v>5.8505382000000061</v>
      </c>
      <c r="G95" s="414">
        <f>(Table3C.7_57TTSMoney109[[#This Row],[Truck Savings Benefits (Daily)]]+Table3C.7_57TTSMoney109[[#This Row],[Car Savings Benefits (Daily)]])*270</f>
        <v>25560.546353940019</v>
      </c>
      <c r="H95" s="414">
        <f>(Table3C.7_57TTSMoney109[[#This Row],[Car Savings Benefits (Daily)]]+Table3C.7_57TTSMoney109[[#This Row],[Truck Savings Benefits (Daily)]])*365</f>
        <v>34554.071922918913</v>
      </c>
    </row>
    <row r="96" spans="1:8">
      <c r="B96" s="142">
        <v>0.41666666666666702</v>
      </c>
      <c r="C96" s="424">
        <f t="shared" si="0"/>
        <v>5.7247932222222229</v>
      </c>
      <c r="D96" s="424">
        <f t="shared" si="1"/>
        <v>0.36541233333333334</v>
      </c>
      <c r="E96" s="414">
        <f>Table3C.7_57TTSMoney109[[#This Row],[Car Delay Savings (hrs)]]*All_Purpose_Travel*Passenger_Vehicles_Occupancy</f>
        <v>179.73560800488889</v>
      </c>
      <c r="F96" s="414">
        <f>Table3C.7_57TTSMoney109[[#This Row],[Truck Delay Savings (hrs)]]*Truck_Travel</f>
        <v>11.8393596</v>
      </c>
      <c r="G96" s="414">
        <f>(Table3C.7_57TTSMoney109[[#This Row],[Truck Savings Benefits (Daily)]]+Table3C.7_57TTSMoney109[[#This Row],[Car Savings Benefits (Daily)]])*270</f>
        <v>51725.241253319997</v>
      </c>
      <c r="H96" s="414">
        <f>(Table3C.7_57TTSMoney109[[#This Row],[Car Savings Benefits (Daily)]]+Table3C.7_57TTSMoney109[[#This Row],[Truck Savings Benefits (Daily)]])*365</f>
        <v>69924.863175784441</v>
      </c>
    </row>
    <row r="97" spans="2:8">
      <c r="B97" s="142">
        <v>0.45833333333333298</v>
      </c>
      <c r="C97" s="424">
        <f t="shared" si="0"/>
        <v>7.9333467222222254</v>
      </c>
      <c r="D97" s="424">
        <f t="shared" si="1"/>
        <v>0.50638383333333348</v>
      </c>
      <c r="E97" s="414">
        <f>Table3C.7_57TTSMoney109[[#This Row],[Car Delay Savings (hrs)]]*All_Purpose_Travel*Passenger_Vehicles_Occupancy</f>
        <v>249.07535369088899</v>
      </c>
      <c r="F97" s="414">
        <f>Table3C.7_57TTSMoney109[[#This Row],[Truck Delay Savings (hrs)]]*Truck_Travel</f>
        <v>16.406836200000004</v>
      </c>
      <c r="G97" s="414">
        <f>(Table3C.7_57TTSMoney109[[#This Row],[Truck Savings Benefits (Daily)]]+Table3C.7_57TTSMoney109[[#This Row],[Car Savings Benefits (Daily)]])*270</f>
        <v>71680.191270540032</v>
      </c>
      <c r="H97" s="414">
        <f>(Table3C.7_57TTSMoney109[[#This Row],[Car Savings Benefits (Daily)]]+Table3C.7_57TTSMoney109[[#This Row],[Truck Savings Benefits (Daily)]])*365</f>
        <v>96900.999310174491</v>
      </c>
    </row>
    <row r="98" spans="2:8">
      <c r="B98" s="142">
        <v>0.5</v>
      </c>
      <c r="C98" s="424">
        <f t="shared" si="0"/>
        <v>46.837993611111123</v>
      </c>
      <c r="D98" s="424">
        <f t="shared" si="1"/>
        <v>2.9896591666666676</v>
      </c>
      <c r="E98" s="414">
        <f>Table3C.7_57TTSMoney109[[#This Row],[Car Delay Savings (hrs)]]*All_Purpose_Travel*Passenger_Vehicles_Occupancy</f>
        <v>1470.5256474144448</v>
      </c>
      <c r="F98" s="414">
        <f>Table3C.7_57TTSMoney109[[#This Row],[Truck Delay Savings (hrs)]]*Truck_Travel</f>
        <v>96.864957000000032</v>
      </c>
      <c r="G98" s="414">
        <f>(Table3C.7_57TTSMoney109[[#This Row],[Truck Savings Benefits (Daily)]]+Table3C.7_57TTSMoney109[[#This Row],[Car Savings Benefits (Daily)]])*270</f>
        <v>423195.46319190011</v>
      </c>
      <c r="H98" s="414">
        <f>(Table3C.7_57TTSMoney109[[#This Row],[Car Savings Benefits (Daily)]]+Table3C.7_57TTSMoney109[[#This Row],[Truck Savings Benefits (Daily)]])*365</f>
        <v>572097.57061127236</v>
      </c>
    </row>
    <row r="99" spans="2:8">
      <c r="B99" s="142">
        <v>0.54166666666666696</v>
      </c>
      <c r="C99" s="424">
        <f t="shared" si="0"/>
        <v>154.7378415</v>
      </c>
      <c r="D99" s="424">
        <f t="shared" si="1"/>
        <v>9.8768834999999999</v>
      </c>
      <c r="E99" s="414">
        <f>Table3C.7_57TTSMoney109[[#This Row],[Car Delay Savings (hrs)]]*All_Purpose_Travel*Passenger_Vehicles_Occupancy</f>
        <v>4858.1492717339997</v>
      </c>
      <c r="F99" s="414">
        <f>Table3C.7_57TTSMoney109[[#This Row],[Truck Delay Savings (hrs)]]*Truck_Travel</f>
        <v>320.01102539999999</v>
      </c>
      <c r="G99" s="414">
        <f>(Table3C.7_57TTSMoney109[[#This Row],[Truck Savings Benefits (Daily)]]+Table3C.7_57TTSMoney109[[#This Row],[Car Savings Benefits (Daily)]])*270</f>
        <v>1398103.2802261799</v>
      </c>
      <c r="H99" s="414">
        <f>(Table3C.7_57TTSMoney109[[#This Row],[Car Savings Benefits (Daily)]]+Table3C.7_57TTSMoney109[[#This Row],[Truck Savings Benefits (Daily)]])*365</f>
        <v>1890028.50845391</v>
      </c>
    </row>
    <row r="100" spans="2:8">
      <c r="B100" s="142">
        <v>0.58333333333333304</v>
      </c>
      <c r="C100" s="424">
        <f t="shared" si="0"/>
        <v>239.3916303888889</v>
      </c>
      <c r="D100" s="424">
        <f t="shared" si="1"/>
        <v>15.280316833333334</v>
      </c>
      <c r="E100" s="414">
        <f>Table3C.7_57TTSMoney109[[#This Row],[Car Delay Savings (hrs)]]*All_Purpose_Travel*Passenger_Vehicles_Occupancy</f>
        <v>7515.939627689555</v>
      </c>
      <c r="F100" s="414">
        <f>Table3C.7_57TTSMoney109[[#This Row],[Truck Delay Savings (hrs)]]*Truck_Travel</f>
        <v>495.08226539999998</v>
      </c>
      <c r="G100" s="414">
        <f>(Table3C.7_57TTSMoney109[[#This Row],[Truck Savings Benefits (Daily)]]+Table3C.7_57TTSMoney109[[#This Row],[Car Savings Benefits (Daily)]])*270</f>
        <v>2162975.9111341801</v>
      </c>
      <c r="H100" s="414">
        <f>(Table3C.7_57TTSMoney109[[#This Row],[Car Savings Benefits (Daily)]]+Table3C.7_57TTSMoney109[[#This Row],[Truck Savings Benefits (Daily)]])*365</f>
        <v>2924022.9909776878</v>
      </c>
    </row>
    <row r="101" spans="2:8">
      <c r="B101" s="142">
        <v>0.625</v>
      </c>
      <c r="C101" s="424">
        <f t="shared" si="0"/>
        <v>255.46778455555557</v>
      </c>
      <c r="D101" s="424">
        <f t="shared" si="1"/>
        <v>16.306454333333335</v>
      </c>
      <c r="E101" s="414">
        <f>Table3C.7_57TTSMoney109[[#This Row],[Car Delay Savings (hrs)]]*All_Purpose_Travel*Passenger_Vehicles_Occupancy</f>
        <v>8020.666563906223</v>
      </c>
      <c r="F101" s="414">
        <f>Table3C.7_57TTSMoney109[[#This Row],[Truck Delay Savings (hrs)]]*Truck_Travel</f>
        <v>528.32912039999997</v>
      </c>
      <c r="G101" s="414">
        <f>(Table3C.7_57TTSMoney109[[#This Row],[Truck Savings Benefits (Daily)]]+Table3C.7_57TTSMoney109[[#This Row],[Car Savings Benefits (Daily)]])*270</f>
        <v>2308228.8347626803</v>
      </c>
      <c r="H101" s="414">
        <f>(Table3C.7_57TTSMoney109[[#This Row],[Car Savings Benefits (Daily)]]+Table3C.7_57TTSMoney109[[#This Row],[Truck Savings Benefits (Daily)]])*365</f>
        <v>3120383.4247717713</v>
      </c>
    </row>
    <row r="102" spans="2:8">
      <c r="B102" s="142">
        <v>0.66666666666666696</v>
      </c>
      <c r="C102" s="424">
        <f t="shared" si="0"/>
        <v>285.39285688888884</v>
      </c>
      <c r="D102" s="424">
        <f t="shared" si="1"/>
        <v>18.216565333333332</v>
      </c>
      <c r="E102" s="414">
        <f>Table3C.7_57TTSMoney109[[#This Row],[Car Delay Savings (hrs)]]*All_Purpose_Travel*Passenger_Vehicles_Occupancy</f>
        <v>8960.1941348835553</v>
      </c>
      <c r="F102" s="414">
        <f>Table3C.7_57TTSMoney109[[#This Row],[Truck Delay Savings (hrs)]]*Truck_Travel</f>
        <v>590.21671679999997</v>
      </c>
      <c r="G102" s="414">
        <f>(Table3C.7_57TTSMoney109[[#This Row],[Truck Savings Benefits (Daily)]]+Table3C.7_57TTSMoney109[[#This Row],[Car Savings Benefits (Daily)]])*270</f>
        <v>2578610.92995456</v>
      </c>
      <c r="H102" s="414">
        <f>(Table3C.7_57TTSMoney109[[#This Row],[Car Savings Benefits (Daily)]]+Table3C.7_57TTSMoney109[[#This Row],[Truck Savings Benefits (Daily)]])*365</f>
        <v>3485899.9608644973</v>
      </c>
    </row>
    <row r="103" spans="2:8">
      <c r="B103" s="142">
        <v>0.70833333333333304</v>
      </c>
      <c r="C103" s="424">
        <f t="shared" si="0"/>
        <v>250.91673277777775</v>
      </c>
      <c r="D103" s="424">
        <f t="shared" si="1"/>
        <v>16.015961666666666</v>
      </c>
      <c r="E103" s="414">
        <f>Table3C.7_57TTSMoney109[[#This Row],[Car Delay Savings (hrs)]]*All_Purpose_Travel*Passenger_Vehicles_Occupancy</f>
        <v>7877.7817422911103</v>
      </c>
      <c r="F103" s="414">
        <f>Table3C.7_57TTSMoney109[[#This Row],[Truck Delay Savings (hrs)]]*Truck_Travel</f>
        <v>518.91715799999997</v>
      </c>
      <c r="G103" s="414">
        <f>(Table3C.7_57TTSMoney109[[#This Row],[Truck Savings Benefits (Daily)]]+Table3C.7_57TTSMoney109[[#This Row],[Car Savings Benefits (Daily)]])*270</f>
        <v>2267108.7030785996</v>
      </c>
      <c r="H103" s="414">
        <f>(Table3C.7_57TTSMoney109[[#This Row],[Car Savings Benefits (Daily)]]+Table3C.7_57TTSMoney109[[#This Row],[Truck Savings Benefits (Daily)]])*365</f>
        <v>3064795.0986062554</v>
      </c>
    </row>
    <row r="104" spans="2:8">
      <c r="B104" s="142">
        <v>0.75</v>
      </c>
      <c r="C104" s="424">
        <f t="shared" si="0"/>
        <v>207.16857661111106</v>
      </c>
      <c r="D104" s="424">
        <f t="shared" si="1"/>
        <v>13.223526166666666</v>
      </c>
      <c r="E104" s="414">
        <f>Table3C.7_57TTSMoney109[[#This Row],[Car Delay Savings (hrs)]]*All_Purpose_Travel*Passenger_Vehicles_Occupancy</f>
        <v>6504.2646312824436</v>
      </c>
      <c r="F104" s="414">
        <f>Table3C.7_57TTSMoney109[[#This Row],[Truck Delay Savings (hrs)]]*Truck_Travel</f>
        <v>428.44224779999996</v>
      </c>
      <c r="G104" s="414">
        <f>(Table3C.7_57TTSMoney109[[#This Row],[Truck Savings Benefits (Daily)]]+Table3C.7_57TTSMoney109[[#This Row],[Car Savings Benefits (Daily)]])*270</f>
        <v>1871830.8573522596</v>
      </c>
      <c r="H104" s="414">
        <f>(Table3C.7_57TTSMoney109[[#This Row],[Car Savings Benefits (Daily)]]+Table3C.7_57TTSMoney109[[#This Row],[Truck Savings Benefits (Daily)]])*365</f>
        <v>2530438.0108650918</v>
      </c>
    </row>
    <row r="105" spans="2:8" ht="13.5" thickBot="1">
      <c r="B105" s="142">
        <v>0.79166666666666663</v>
      </c>
      <c r="C105" s="423">
        <f t="shared" si="0"/>
        <v>159.68243733333333</v>
      </c>
      <c r="D105" s="423">
        <f t="shared" si="1"/>
        <v>10.192496</v>
      </c>
      <c r="E105" s="422">
        <f>Table3C.7_57TTSMoney109[[#This Row],[Car Delay Savings (hrs)]]*All_Purpose_Travel*Passenger_Vehicles_Occupancy</f>
        <v>5013.389802517333</v>
      </c>
      <c r="F105" s="422">
        <f>Table3C.7_57TTSMoney109[[#This Row],[Truck Delay Savings (hrs)]]*Truck_Travel</f>
        <v>330.23687039999999</v>
      </c>
      <c r="G105" s="422">
        <f>(Table3C.7_57TTSMoney109[[#This Row],[Truck Savings Benefits (Daily)]]+Table3C.7_57TTSMoney109[[#This Row],[Car Savings Benefits (Daily)]])*270</f>
        <v>1442779.2016876799</v>
      </c>
      <c r="H105" s="422">
        <f>(Table3C.7_57TTSMoney109[[#This Row],[Car Savings Benefits (Daily)]]+Table3C.7_57TTSMoney109[[#This Row],[Truck Savings Benefits (Daily)]])*365</f>
        <v>1950423.7356148267</v>
      </c>
    </row>
    <row r="106" spans="2:8" ht="13.5" thickTop="1">
      <c r="B106" s="90" t="s">
        <v>28</v>
      </c>
      <c r="C106" s="153">
        <f>SUBTOTAL(109,Table3C.7_57TTSMoney109[Car Delay Savings (hrs)])</f>
        <v>1631.8234716666666</v>
      </c>
      <c r="D106" s="153">
        <f>SUBTOTAL(109,Table3C.7_57TTSMoney109[Truck Delay Savings (hrs)])</f>
        <v>104.15894500000002</v>
      </c>
      <c r="E106" s="126">
        <f>SUBTOTAL(109,Table3C.7_57TTSMoney109[Car Savings Benefits (Daily)])</f>
        <v>51232.729716446665</v>
      </c>
      <c r="F106" s="126">
        <f>SUBTOTAL(109,Table3C.7_57TTSMoney109[Truck Savings Benefits (Daily)])</f>
        <v>3374.7498179999998</v>
      </c>
      <c r="G106" s="126">
        <f>SUBTOTAL(109,Table3C.7_57TTSMoney109[Total Benefits, Low (270 Days)])</f>
        <v>14744019.474300599</v>
      </c>
      <c r="H106" s="126">
        <f>SUBTOTAL(109,Table3C.7_57TTSMoney109[Total Benefits, High (365 Days)])</f>
        <v>19931730.030073028</v>
      </c>
    </row>
  </sheetData>
  <mergeCells count="6">
    <mergeCell ref="B89:H89"/>
    <mergeCell ref="A1:I1"/>
    <mergeCell ref="B9:H9"/>
    <mergeCell ref="B29:H29"/>
    <mergeCell ref="B49:H49"/>
    <mergeCell ref="B69:H69"/>
  </mergeCells>
  <dataValidations count="1">
    <dataValidation allowBlank="1" showInputMessage="1" showErrorMessage="1" sqref="A1" xr:uid="{854A6E07-0F3B-459E-8510-C30DFF3B6393}"/>
  </dataValidations>
  <pageMargins left="0.7" right="0.7" top="0.75" bottom="0.75" header="0.3" footer="0.3"/>
  <pageSetup scale="81" fitToHeight="0" orientation="landscape" r:id="rId1"/>
  <rowBreaks count="2" manualBreakCount="2">
    <brk id="27" max="16383" man="1"/>
    <brk id="66" max="16383" man="1"/>
  </rowBreaks>
  <drawing r:id="rId2"/>
  <tableParts count="5">
    <tablePart r:id="rId3"/>
    <tablePart r:id="rId4"/>
    <tablePart r:id="rId5"/>
    <tablePart r:id="rId6"/>
    <tablePart r:id="rId7"/>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pageSetUpPr fitToPage="1"/>
  </sheetPr>
  <dimension ref="A1:L24"/>
  <sheetViews>
    <sheetView topLeftCell="A10" workbookViewId="0">
      <selection activeCell="A8" sqref="A8:C8"/>
    </sheetView>
  </sheetViews>
  <sheetFormatPr defaultColWidth="9.140625" defaultRowHeight="14.25"/>
  <cols>
    <col min="1" max="1" width="30.5703125" style="3" customWidth="1"/>
    <col min="2" max="2" width="34.85546875" style="3" customWidth="1"/>
    <col min="3" max="3" width="21.140625" style="3" customWidth="1"/>
    <col min="4" max="4" width="14.28515625" style="3" customWidth="1"/>
    <col min="5" max="5" width="11.28515625" style="3" customWidth="1"/>
    <col min="6" max="6" width="22.7109375" style="3" customWidth="1"/>
    <col min="7" max="9" width="9.140625" style="3"/>
    <col min="10" max="10" width="27.7109375" style="3" customWidth="1"/>
    <col min="11" max="11" width="15.140625" style="3" customWidth="1"/>
    <col min="12" max="16384" width="9.140625" style="3"/>
  </cols>
  <sheetData>
    <row r="1" spans="1:12">
      <c r="A1" s="504" t="s">
        <v>233</v>
      </c>
      <c r="B1" s="505"/>
      <c r="C1" s="505"/>
      <c r="D1" s="505"/>
      <c r="E1" s="505"/>
      <c r="F1" s="505"/>
      <c r="G1" s="505"/>
      <c r="H1" s="505"/>
      <c r="I1" s="505"/>
      <c r="J1" s="505"/>
      <c r="K1" s="505"/>
      <c r="L1" s="505"/>
    </row>
    <row r="2" spans="1:12">
      <c r="A2" s="5" t="s">
        <v>1</v>
      </c>
      <c r="B2" s="6" t="s">
        <v>234</v>
      </c>
    </row>
    <row r="3" spans="1:12">
      <c r="A3" s="5" t="s">
        <v>4</v>
      </c>
      <c r="B3" s="8">
        <f ca="1">TODAY()</f>
        <v>45159</v>
      </c>
    </row>
    <row r="4" spans="1:12" ht="27" customHeight="1" thickBot="1"/>
    <row r="5" spans="1:12">
      <c r="A5" s="506" t="s">
        <v>235</v>
      </c>
      <c r="B5" s="507"/>
      <c r="C5" s="507"/>
      <c r="D5" s="507"/>
      <c r="E5" s="507"/>
      <c r="F5" s="507"/>
      <c r="G5" s="507"/>
      <c r="H5" s="507"/>
      <c r="I5" s="507"/>
      <c r="J5" s="507"/>
      <c r="K5" s="507"/>
      <c r="L5" s="508"/>
    </row>
    <row r="6" spans="1:12" ht="324" customHeight="1" thickBot="1">
      <c r="A6" s="509"/>
      <c r="B6" s="510"/>
      <c r="C6" s="510"/>
      <c r="D6" s="510"/>
      <c r="E6" s="510"/>
      <c r="F6" s="510"/>
      <c r="G6" s="510"/>
      <c r="H6" s="510"/>
      <c r="I6" s="510"/>
      <c r="J6" s="510"/>
      <c r="K6" s="510"/>
      <c r="L6" s="511"/>
    </row>
    <row r="7" spans="1:12" ht="15" thickBot="1"/>
    <row r="8" spans="1:12" ht="15" thickBot="1">
      <c r="A8" s="512" t="s">
        <v>236</v>
      </c>
      <c r="B8" s="513"/>
      <c r="C8" s="514"/>
      <c r="J8" s="512" t="s">
        <v>237</v>
      </c>
      <c r="K8" s="514"/>
    </row>
    <row r="9" spans="1:12">
      <c r="B9" s="5" t="s">
        <v>238</v>
      </c>
      <c r="C9" s="7">
        <v>0</v>
      </c>
      <c r="J9" s="5" t="s">
        <v>239</v>
      </c>
      <c r="K9" s="1">
        <f>SUMPRODUCT(B15:B20,F15:F20)*C11</f>
        <v>0</v>
      </c>
    </row>
    <row r="10" spans="1:12">
      <c r="B10" s="5" t="s">
        <v>240</v>
      </c>
      <c r="C10" s="7">
        <v>76923</v>
      </c>
      <c r="J10" s="47" t="s">
        <v>241</v>
      </c>
      <c r="K10" s="48">
        <f>SUMPRODUCT(B15:B20,C15:C20)*K9</f>
        <v>0</v>
      </c>
    </row>
    <row r="11" spans="1:12">
      <c r="B11" s="5" t="s">
        <v>242</v>
      </c>
      <c r="C11" s="49">
        <f>C9/C10</f>
        <v>0</v>
      </c>
      <c r="J11" s="5" t="s">
        <v>243</v>
      </c>
      <c r="K11" s="1">
        <f>C11-K9</f>
        <v>0</v>
      </c>
    </row>
    <row r="12" spans="1:12" ht="15" thickBot="1">
      <c r="B12" s="5"/>
      <c r="C12" s="49"/>
      <c r="J12" s="47" t="s">
        <v>244</v>
      </c>
      <c r="K12" s="48">
        <f>(K11*B15*E15)+(K11*B16*E16)+(K11*B17*E17)+(K11*B18*E18)+(K11*B19*E19)+(K11*B20*E20)</f>
        <v>0</v>
      </c>
    </row>
    <row r="13" spans="1:12" ht="15" customHeight="1" thickBot="1">
      <c r="A13" s="515" t="s">
        <v>245</v>
      </c>
      <c r="B13" s="516"/>
      <c r="C13" s="516"/>
      <c r="D13" s="516"/>
      <c r="E13" s="516"/>
      <c r="F13" s="517"/>
    </row>
    <row r="14" spans="1:12" s="13" customFormat="1" ht="43.5" thickBot="1">
      <c r="A14" s="50" t="s">
        <v>246</v>
      </c>
      <c r="B14" s="51" t="s">
        <v>247</v>
      </c>
      <c r="C14" s="51" t="s">
        <v>248</v>
      </c>
      <c r="D14" s="51" t="s">
        <v>249</v>
      </c>
      <c r="E14" s="51" t="s">
        <v>250</v>
      </c>
      <c r="F14" s="51" t="s">
        <v>251</v>
      </c>
      <c r="J14" s="52" t="s">
        <v>252</v>
      </c>
      <c r="K14" s="53">
        <f>K10+K12</f>
        <v>0</v>
      </c>
    </row>
    <row r="15" spans="1:12">
      <c r="A15" s="5" t="s">
        <v>253</v>
      </c>
      <c r="B15" s="54">
        <v>0.16</v>
      </c>
      <c r="C15" s="31">
        <v>30000</v>
      </c>
      <c r="D15" s="31">
        <v>25000</v>
      </c>
      <c r="E15" s="31">
        <f>C15-D15</f>
        <v>5000</v>
      </c>
      <c r="F15" s="55">
        <v>9.1999999999999998E-2</v>
      </c>
    </row>
    <row r="16" spans="1:12">
      <c r="A16" s="5" t="s">
        <v>254</v>
      </c>
      <c r="B16" s="54">
        <v>0.39</v>
      </c>
      <c r="C16" s="31">
        <v>40000</v>
      </c>
      <c r="D16" s="31">
        <v>34700</v>
      </c>
      <c r="E16" s="31">
        <f t="shared" ref="E16:E20" si="0">C16-D16</f>
        <v>5300</v>
      </c>
      <c r="F16" s="55">
        <v>6.4000000000000001E-2</v>
      </c>
    </row>
    <row r="17" spans="1:6">
      <c r="A17" s="5" t="s">
        <v>255</v>
      </c>
      <c r="B17" s="54">
        <v>0.24</v>
      </c>
      <c r="C17" s="31">
        <v>46000</v>
      </c>
      <c r="D17" s="31">
        <v>40000</v>
      </c>
      <c r="E17" s="31">
        <f t="shared" si="0"/>
        <v>6000</v>
      </c>
      <c r="F17" s="55">
        <v>2.9000000000000001E-2</v>
      </c>
    </row>
    <row r="18" spans="1:6">
      <c r="A18" s="5" t="s">
        <v>256</v>
      </c>
      <c r="B18" s="54">
        <v>0.08</v>
      </c>
      <c r="C18" s="31">
        <v>50000</v>
      </c>
      <c r="D18" s="31">
        <v>43900</v>
      </c>
      <c r="E18" s="31">
        <f t="shared" si="0"/>
        <v>6100</v>
      </c>
      <c r="F18" s="55">
        <v>2.9000000000000001E-2</v>
      </c>
    </row>
    <row r="19" spans="1:6">
      <c r="A19" s="5" t="s">
        <v>257</v>
      </c>
      <c r="B19" s="54">
        <v>0.1</v>
      </c>
      <c r="C19" s="31">
        <v>60000</v>
      </c>
      <c r="D19" s="31">
        <v>60000</v>
      </c>
      <c r="E19" s="31">
        <f t="shared" si="0"/>
        <v>0</v>
      </c>
      <c r="F19" s="55">
        <v>2.4E-2</v>
      </c>
    </row>
    <row r="20" spans="1:6">
      <c r="A20" s="5" t="s">
        <v>258</v>
      </c>
      <c r="B20" s="54">
        <v>0.03</v>
      </c>
      <c r="C20" s="31">
        <v>73000</v>
      </c>
      <c r="D20" s="31">
        <v>75000</v>
      </c>
      <c r="E20" s="31">
        <f t="shared" si="0"/>
        <v>-2000</v>
      </c>
      <c r="F20" s="55">
        <v>2.4E-2</v>
      </c>
    </row>
    <row r="23" spans="1:6">
      <c r="A23" s="9" t="s">
        <v>259</v>
      </c>
    </row>
    <row r="24" spans="1:6" ht="45" customHeight="1">
      <c r="A24" s="503" t="s">
        <v>260</v>
      </c>
      <c r="B24" s="503"/>
      <c r="C24" s="503"/>
      <c r="D24" s="503"/>
      <c r="E24" s="503"/>
      <c r="F24" s="503"/>
    </row>
  </sheetData>
  <mergeCells count="6">
    <mergeCell ref="A24:F24"/>
    <mergeCell ref="A1:L1"/>
    <mergeCell ref="A5:L6"/>
    <mergeCell ref="A8:C8"/>
    <mergeCell ref="J8:K8"/>
    <mergeCell ref="A13:F13"/>
  </mergeCells>
  <pageMargins left="0.7" right="0.7" top="0.75" bottom="0.75" header="0.3" footer="0.3"/>
  <pageSetup paperSize="3" scale="58"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817E4-8B34-432D-A825-FAADC648B2CE}">
  <sheetPr>
    <tabColor theme="0" tint="-0.249977111117893"/>
  </sheetPr>
  <dimension ref="A1:K11"/>
  <sheetViews>
    <sheetView topLeftCell="D1" workbookViewId="0">
      <selection activeCell="A8" sqref="A8:C8"/>
    </sheetView>
  </sheetViews>
  <sheetFormatPr defaultColWidth="9.140625" defaultRowHeight="14.25"/>
  <cols>
    <col min="1" max="1" width="0" style="3" hidden="1" customWidth="1"/>
    <col min="2" max="2" width="9.28515625" style="3" customWidth="1"/>
    <col min="3" max="3" width="18.28515625" style="3" customWidth="1"/>
    <col min="4" max="9" width="14.7109375" style="3" customWidth="1"/>
    <col min="10" max="11" width="14.7109375" style="3" hidden="1" customWidth="1"/>
    <col min="12" max="16384" width="9.140625" style="3"/>
  </cols>
  <sheetData>
    <row r="1" spans="1:11">
      <c r="B1" s="518" t="s">
        <v>261</v>
      </c>
      <c r="C1" s="518"/>
      <c r="D1" s="518"/>
      <c r="E1" s="518"/>
      <c r="F1" s="518"/>
      <c r="G1" s="518"/>
      <c r="H1" s="518"/>
      <c r="I1" s="518"/>
      <c r="J1" s="518"/>
      <c r="K1" s="518"/>
    </row>
    <row r="2" spans="1:11" s="37" customFormat="1" ht="57">
      <c r="A2" s="32" t="s">
        <v>262</v>
      </c>
      <c r="B2" s="33" t="s">
        <v>21</v>
      </c>
      <c r="C2" s="33" t="s">
        <v>263</v>
      </c>
      <c r="D2" s="33" t="s">
        <v>264</v>
      </c>
      <c r="E2" s="33" t="s">
        <v>265</v>
      </c>
      <c r="F2" s="33" t="s">
        <v>266</v>
      </c>
      <c r="G2" s="33" t="s">
        <v>267</v>
      </c>
      <c r="H2" s="33" t="s">
        <v>268</v>
      </c>
      <c r="I2" s="34" t="s">
        <v>269</v>
      </c>
      <c r="J2" s="35" t="s">
        <v>270</v>
      </c>
      <c r="K2" s="36" t="s">
        <v>271</v>
      </c>
    </row>
    <row r="3" spans="1:11">
      <c r="A3" s="3">
        <v>1</v>
      </c>
      <c r="B3" s="38">
        <v>2019</v>
      </c>
      <c r="C3" s="31">
        <f>0</f>
        <v>0</v>
      </c>
      <c r="D3" s="1">
        <f>C3/'Job Creation Benefit'!$C$10</f>
        <v>0</v>
      </c>
      <c r="E3" s="1">
        <f>SUMPRODUCT('Job Creation Benefit'!$B$15:$B$20,'Job Creation Benefit'!$F$15:$F$20)*'Job Creation Backup'!D3</f>
        <v>0</v>
      </c>
      <c r="F3" s="31">
        <f>SUMPRODUCT('Job Creation Benefit'!$B$15:$B$20,'Job Creation Benefit'!$C$15:$C$20)*'Job Creation Backup'!E3</f>
        <v>0</v>
      </c>
      <c r="G3" s="1">
        <f>D3-E3</f>
        <v>0</v>
      </c>
      <c r="H3" s="31">
        <f>SUMPRODUCT('Job Creation Benefit'!$B$15:$B$20,'Job Creation Benefit'!$E$15:$E$20)*'Job Creation Backup'!G3</f>
        <v>0</v>
      </c>
      <c r="I3" s="39">
        <v>0</v>
      </c>
      <c r="J3" s="40" t="e">
        <f>$I3/((1+#REF!)^$A3)</f>
        <v>#REF!</v>
      </c>
      <c r="K3" s="41" t="e">
        <f>$I3/((1+#REF!)^$A3)</f>
        <v>#REF!</v>
      </c>
    </row>
    <row r="4" spans="1:11">
      <c r="A4" s="3">
        <v>2</v>
      </c>
      <c r="B4" s="38">
        <v>2020</v>
      </c>
      <c r="C4" s="31">
        <f>'MM_10. Future Eligible Costs'!G15/2</f>
        <v>350000</v>
      </c>
      <c r="D4" s="1">
        <f>C4/'Job Creation Benefit'!$C$10</f>
        <v>4.5500045500045498</v>
      </c>
      <c r="E4" s="1">
        <f>SUMPRODUCT('Job Creation Benefit'!$B$15:$B$20,'Job Creation Benefit'!$F$15:$F$20)*'Job Creation Backup'!D4</f>
        <v>0.23696423696423699</v>
      </c>
      <c r="F4" s="31">
        <f>SUMPRODUCT('Job Creation Benefit'!$B$15:$B$20,'Job Creation Benefit'!$C$15:$C$20)*'Job Creation Backup'!E4</f>
        <v>10338.749658749661</v>
      </c>
      <c r="G4" s="1">
        <v>0</v>
      </c>
      <c r="H4" s="31">
        <f>SUMPRODUCT('Job Creation Benefit'!$B$15:$B$20,'Job Creation Benefit'!$E$15:$E$20)*'Job Creation Backup'!G4</f>
        <v>0</v>
      </c>
      <c r="I4" s="39">
        <v>0</v>
      </c>
      <c r="J4" s="40" t="e">
        <f>$I4/((1+#REF!)^$A4)</f>
        <v>#REF!</v>
      </c>
      <c r="K4" s="41" t="e">
        <f>$I4/((1+#REF!)^$A4)</f>
        <v>#REF!</v>
      </c>
    </row>
    <row r="5" spans="1:11">
      <c r="A5" s="3">
        <v>3</v>
      </c>
      <c r="B5" s="38">
        <v>2021</v>
      </c>
      <c r="C5" s="31">
        <f>'MM_10. Future Eligible Costs'!G15/2</f>
        <v>350000</v>
      </c>
      <c r="D5" s="1">
        <f>C5/'Job Creation Benefit'!$C$10</f>
        <v>4.5500045500045498</v>
      </c>
      <c r="E5" s="1">
        <f>SUMPRODUCT('Job Creation Benefit'!$B$15:$B$20,'Job Creation Benefit'!$F$15:$F$20)*'Job Creation Backup'!D5</f>
        <v>0.23696423696423699</v>
      </c>
      <c r="F5" s="31">
        <f>SUMPRODUCT('Job Creation Benefit'!$B$15:$B$20,'Job Creation Benefit'!$C$15:$C$20)*'Job Creation Backup'!E5</f>
        <v>10338.749658749661</v>
      </c>
      <c r="G5" s="1">
        <v>0</v>
      </c>
      <c r="H5" s="31">
        <f>SUMPRODUCT('Job Creation Benefit'!$B$15:$B$20,'Job Creation Benefit'!$E$15:$E$20)*'Job Creation Backup'!G5</f>
        <v>0</v>
      </c>
      <c r="I5" s="39">
        <v>0</v>
      </c>
      <c r="J5" s="40" t="e">
        <f>$I5/((1+#REF!)^$A5)</f>
        <v>#REF!</v>
      </c>
      <c r="K5" s="41" t="e">
        <f>$I5/((1+#REF!)^$A5)</f>
        <v>#REF!</v>
      </c>
    </row>
    <row r="6" spans="1:11">
      <c r="A6" s="3">
        <v>4</v>
      </c>
      <c r="B6" s="38">
        <v>2022</v>
      </c>
      <c r="C6" s="31">
        <f>'MM_10. Future Eligible Costs'!G16</f>
        <v>5390000</v>
      </c>
      <c r="D6" s="1">
        <f>C6/'Job Creation Benefit'!$C$10</f>
        <v>70.070070070070074</v>
      </c>
      <c r="E6" s="1">
        <f>SUMPRODUCT('Job Creation Benefit'!$B$15:$B$20,'Job Creation Benefit'!$F$15:$F$20)*'Job Creation Backup'!D6</f>
        <v>3.6492492492492499</v>
      </c>
      <c r="F6" s="31">
        <f>SUMPRODUCT('Job Creation Benefit'!$B$15:$B$20,'Job Creation Benefit'!$C$15:$C$20)*'Job Creation Backup'!E6</f>
        <v>159216.74474474476</v>
      </c>
      <c r="G6" s="1">
        <v>0</v>
      </c>
      <c r="H6" s="31">
        <f>SUMPRODUCT('Job Creation Benefit'!$B$15:$B$20,'Job Creation Benefit'!$E$15:$E$20)*'Job Creation Backup'!G6</f>
        <v>0</v>
      </c>
      <c r="I6" s="39">
        <v>0</v>
      </c>
      <c r="J6" s="40" t="e">
        <f>$I6/((1+#REF!)^$A6)</f>
        <v>#REF!</v>
      </c>
      <c r="K6" s="41" t="e">
        <f>$I6/((1+#REF!)^$A6)</f>
        <v>#REF!</v>
      </c>
    </row>
    <row r="7" spans="1:11">
      <c r="A7" s="3">
        <v>5</v>
      </c>
      <c r="B7" s="38">
        <v>2023</v>
      </c>
      <c r="C7" s="31">
        <f>'MM_10. Future Eligible Costs'!G17</f>
        <v>48500000</v>
      </c>
      <c r="D7" s="1">
        <f>C7/'Job Creation Benefit'!$C$10</f>
        <v>630.50063050063045</v>
      </c>
      <c r="E7" s="1">
        <f>SUMPRODUCT('Job Creation Benefit'!$B$15:$B$20,'Job Creation Benefit'!$F$15:$F$20)*'Job Creation Backup'!D7</f>
        <v>32.836472836472836</v>
      </c>
      <c r="F7" s="31">
        <f>SUMPRODUCT('Job Creation Benefit'!$B$15:$B$20,'Job Creation Benefit'!$C$15:$C$20)*'Job Creation Backup'!E7</f>
        <v>1432655.3098553098</v>
      </c>
      <c r="G7" s="1">
        <v>0</v>
      </c>
      <c r="H7" s="31">
        <f>SUMPRODUCT('Job Creation Benefit'!$B$15:$B$20,'Job Creation Benefit'!$E$15:$E$20)*'Job Creation Backup'!G7</f>
        <v>0</v>
      </c>
      <c r="I7" s="39">
        <v>0</v>
      </c>
      <c r="J7" s="40" t="e">
        <f>$I7/((1+#REF!)^$A7)</f>
        <v>#REF!</v>
      </c>
      <c r="K7" s="41" t="e">
        <f>$I7/((1+#REF!)^$A7)</f>
        <v>#REF!</v>
      </c>
    </row>
    <row r="8" spans="1:11">
      <c r="A8" s="3">
        <v>6</v>
      </c>
      <c r="B8" s="38">
        <v>2024</v>
      </c>
      <c r="C8" s="31">
        <f>'MM_10. Future Eligible Costs'!G18</f>
        <v>18200000</v>
      </c>
      <c r="D8" s="1">
        <f>C8/'Job Creation Benefit'!$C$10</f>
        <v>236.6002366002366</v>
      </c>
      <c r="E8" s="1">
        <f>SUMPRODUCT('Job Creation Benefit'!$B$15:$B$20,'Job Creation Benefit'!$F$15:$F$20)*'Job Creation Backup'!D8</f>
        <v>12.322140322140324</v>
      </c>
      <c r="F8" s="31">
        <f>SUMPRODUCT('Job Creation Benefit'!$B$15:$B$20,'Job Creation Benefit'!$C$15:$C$20)*'Job Creation Backup'!E8</f>
        <v>537614.98225498234</v>
      </c>
      <c r="G8" s="1">
        <v>0</v>
      </c>
      <c r="H8" s="31">
        <f>SUMPRODUCT('Job Creation Benefit'!$B$15:$B$20,'Job Creation Benefit'!$E$15:$E$20)*'Job Creation Backup'!G8</f>
        <v>0</v>
      </c>
      <c r="I8" s="39">
        <v>0</v>
      </c>
      <c r="J8" s="40" t="e">
        <f>$I8/((1+#REF!)^$A8)</f>
        <v>#REF!</v>
      </c>
      <c r="K8" s="41" t="e">
        <f>$I8/((1+#REF!)^$A8)</f>
        <v>#REF!</v>
      </c>
    </row>
    <row r="9" spans="1:11">
      <c r="A9" s="3">
        <v>7</v>
      </c>
      <c r="B9" s="38">
        <v>2025</v>
      </c>
      <c r="C9" s="31" t="e">
        <f>'MM_10. Future Eligible Costs'!G19+'MM_10. Future Eligible Costs'!#REF!</f>
        <v>#REF!</v>
      </c>
      <c r="D9" s="1" t="e">
        <f>C9/'Job Creation Benefit'!$C$10</f>
        <v>#REF!</v>
      </c>
      <c r="E9" s="1" t="e">
        <f>SUMPRODUCT('Job Creation Benefit'!$B$15:$B$20,'Job Creation Benefit'!$F$15:$F$20)*'Job Creation Backup'!D9</f>
        <v>#REF!</v>
      </c>
      <c r="F9" s="31" t="e">
        <f>SUMPRODUCT('Job Creation Benefit'!$B$15:$B$20,'Job Creation Benefit'!$C$15:$C$20)*'Job Creation Backup'!E9</f>
        <v>#REF!</v>
      </c>
      <c r="G9" s="1">
        <v>0</v>
      </c>
      <c r="H9" s="31">
        <f>SUMPRODUCT('Job Creation Benefit'!$B$15:$B$20,'Job Creation Benefit'!$E$15:$E$20)*'Job Creation Backup'!G9</f>
        <v>0</v>
      </c>
      <c r="I9" s="39">
        <v>0</v>
      </c>
      <c r="J9" s="40" t="e">
        <f>$I9/((1+#REF!)^$A9)</f>
        <v>#REF!</v>
      </c>
      <c r="K9" s="41" t="e">
        <f>$I9/((1+#REF!)^$A9)</f>
        <v>#REF!</v>
      </c>
    </row>
    <row r="10" spans="1:11">
      <c r="A10" s="4">
        <v>8</v>
      </c>
      <c r="B10" s="57">
        <v>2026</v>
      </c>
      <c r="C10" s="42">
        <v>0</v>
      </c>
      <c r="D10" s="2">
        <f>C10/'Job Creation Benefit'!$C$10</f>
        <v>0</v>
      </c>
      <c r="E10" s="2">
        <f>SUMPRODUCT('Job Creation Benefit'!$B$15:$B$20,'Job Creation Benefit'!$F$15:$F$20)*'Job Creation Backup'!D10</f>
        <v>0</v>
      </c>
      <c r="F10" s="42">
        <f>SUMPRODUCT('Job Creation Benefit'!$B$15:$B$20,'Job Creation Benefit'!$C$15:$C$20)*'Job Creation Backup'!E10</f>
        <v>0</v>
      </c>
      <c r="G10" s="2">
        <v>0</v>
      </c>
      <c r="H10" s="42">
        <f>SUMPRODUCT('Job Creation Benefit'!$B$15:$B$20,'Job Creation Benefit'!$E$15:$E$20)*'Job Creation Backup'!G10</f>
        <v>0</v>
      </c>
      <c r="I10" s="43">
        <f t="shared" ref="I10" si="0">SUM(H10,F10)</f>
        <v>0</v>
      </c>
      <c r="J10" s="40" t="e">
        <f>$I10/((1+#REF!)^$A10)</f>
        <v>#REF!</v>
      </c>
      <c r="K10" s="41" t="e">
        <f>$I10/((1+#REF!)^$A10)</f>
        <v>#REF!</v>
      </c>
    </row>
    <row r="11" spans="1:11">
      <c r="B11" s="38" t="s">
        <v>272</v>
      </c>
      <c r="C11" s="44" t="e">
        <f t="shared" ref="C11:H11" si="1">SUM(C3:C10)</f>
        <v>#REF!</v>
      </c>
      <c r="D11" s="45" t="e">
        <f t="shared" si="1"/>
        <v>#REF!</v>
      </c>
      <c r="E11" s="45" t="e">
        <f t="shared" si="1"/>
        <v>#REF!</v>
      </c>
      <c r="F11" s="44" t="e">
        <f t="shared" si="1"/>
        <v>#REF!</v>
      </c>
      <c r="G11" s="45">
        <f t="shared" si="1"/>
        <v>0</v>
      </c>
      <c r="H11" s="44">
        <f t="shared" si="1"/>
        <v>0</v>
      </c>
      <c r="I11" s="46">
        <f>SUM(I3:I10)</f>
        <v>0</v>
      </c>
    </row>
  </sheetData>
  <mergeCells count="1">
    <mergeCell ref="B1:K1"/>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pageSetUpPr fitToPage="1"/>
  </sheetPr>
  <dimension ref="A1:I66"/>
  <sheetViews>
    <sheetView showGridLines="0" zoomScale="85" zoomScaleNormal="85" workbookViewId="0">
      <selection activeCell="A6" sqref="A6:I6"/>
    </sheetView>
  </sheetViews>
  <sheetFormatPr defaultColWidth="9.140625" defaultRowHeight="12.75"/>
  <cols>
    <col min="1" max="1" width="12.85546875" style="76" bestFit="1" customWidth="1"/>
    <col min="2" max="2" width="13" style="61" customWidth="1"/>
    <col min="3" max="3" width="10.7109375" style="61" customWidth="1"/>
    <col min="4" max="4" width="30.7109375" style="61" customWidth="1"/>
    <col min="5" max="5" width="30.7109375" style="78" customWidth="1"/>
    <col min="6" max="6" width="30.7109375" style="61" customWidth="1"/>
    <col min="7" max="9" width="10.7109375" style="61" customWidth="1"/>
    <col min="10" max="16384" width="9.140625" style="61"/>
  </cols>
  <sheetData>
    <row r="1" spans="1:9" ht="15" customHeight="1">
      <c r="A1" s="519" t="s">
        <v>273</v>
      </c>
      <c r="B1" s="520"/>
      <c r="C1" s="520"/>
      <c r="D1" s="520"/>
      <c r="E1" s="520"/>
      <c r="F1" s="520"/>
      <c r="G1" s="520"/>
      <c r="H1" s="520"/>
      <c r="I1" s="520"/>
    </row>
    <row r="2" spans="1:9" ht="15" customHeight="1">
      <c r="A2" s="62" t="s">
        <v>1</v>
      </c>
      <c r="B2" s="63" t="str">
        <f>Project_Name</f>
        <v>Completing the I-95 Missing Move and Quonset Connector Ramps</v>
      </c>
    </row>
    <row r="3" spans="1:9" ht="15" customHeight="1">
      <c r="A3" s="62" t="s">
        <v>4</v>
      </c>
      <c r="B3" s="72">
        <f>Date</f>
        <v>45159</v>
      </c>
    </row>
    <row r="4" spans="1:9" ht="15" customHeight="1">
      <c r="B4" s="79"/>
    </row>
    <row r="5" spans="1:9" ht="13.5" thickBot="1"/>
    <row r="6" spans="1:9" ht="240" customHeight="1" thickBot="1">
      <c r="A6" s="467"/>
      <c r="B6" s="468"/>
      <c r="C6" s="468"/>
      <c r="D6" s="468"/>
      <c r="E6" s="468"/>
      <c r="F6" s="468"/>
      <c r="G6" s="468"/>
      <c r="H6" s="468"/>
      <c r="I6" s="469"/>
    </row>
    <row r="7" spans="1:9">
      <c r="A7" s="127"/>
      <c r="B7" s="81"/>
      <c r="C7" s="81"/>
      <c r="D7" s="81"/>
      <c r="E7" s="80"/>
      <c r="F7" s="81"/>
      <c r="G7" s="81"/>
      <c r="H7" s="81"/>
      <c r="I7" s="81"/>
    </row>
    <row r="8" spans="1:9">
      <c r="A8" s="127"/>
      <c r="D8" s="71" t="s">
        <v>274</v>
      </c>
      <c r="E8" s="81"/>
      <c r="F8" s="81"/>
      <c r="G8" s="80"/>
      <c r="H8" s="81"/>
      <c r="I8" s="81"/>
    </row>
    <row r="9" spans="1:9">
      <c r="A9" s="127"/>
      <c r="D9" s="81"/>
      <c r="E9" s="81"/>
      <c r="F9" s="81"/>
      <c r="G9" s="80"/>
      <c r="H9" s="81"/>
      <c r="I9" s="81"/>
    </row>
    <row r="10" spans="1:9">
      <c r="A10" s="127"/>
      <c r="D10" s="122" t="s">
        <v>275</v>
      </c>
      <c r="E10" s="122" t="s">
        <v>276</v>
      </c>
      <c r="F10" s="288" t="s">
        <v>96</v>
      </c>
      <c r="G10" s="81"/>
      <c r="H10" s="81"/>
    </row>
    <row r="11" spans="1:9">
      <c r="A11" s="127"/>
      <c r="B11" s="81"/>
      <c r="C11" s="81"/>
      <c r="D11" s="81" t="s">
        <v>277</v>
      </c>
      <c r="E11" s="80">
        <f>Table4.1_ForegoneSummary[[#This Row],[30-Year Total]]/30</f>
        <v>0</v>
      </c>
      <c r="F11" s="126">
        <f>'4B. Foregone Cost Backup'!F26</f>
        <v>0</v>
      </c>
      <c r="G11" s="81"/>
      <c r="H11" s="81"/>
      <c r="I11" s="81"/>
    </row>
    <row r="12" spans="1:9">
      <c r="A12" s="127"/>
      <c r="B12" s="81"/>
      <c r="C12" s="81"/>
      <c r="D12" s="81" t="s">
        <v>278</v>
      </c>
      <c r="E12" s="80">
        <f>Table4.1_ForegoneSummary[[#This Row],[30-Year Total]]/30</f>
        <v>0</v>
      </c>
      <c r="F12" s="126">
        <f>'4B. Foregone Cost Backup'!F42</f>
        <v>0</v>
      </c>
      <c r="G12" s="81"/>
      <c r="H12" s="81"/>
      <c r="I12" s="81"/>
    </row>
    <row r="13" spans="1:9">
      <c r="A13" s="127"/>
      <c r="B13" s="81"/>
      <c r="C13" s="81"/>
      <c r="D13" s="81" t="s">
        <v>279</v>
      </c>
      <c r="E13" s="80">
        <f>Table4.1_ForegoneSummary[[#This Row],[30-Year Total]]/30</f>
        <v>0</v>
      </c>
      <c r="F13" s="126">
        <f>'4B. Foregone Cost Backup'!F53</f>
        <v>0</v>
      </c>
      <c r="G13" s="81"/>
      <c r="H13" s="81"/>
      <c r="I13" s="81"/>
    </row>
    <row r="14" spans="1:9">
      <c r="A14" s="127"/>
      <c r="B14" s="81"/>
      <c r="C14" s="81"/>
      <c r="D14" s="81" t="s">
        <v>280</v>
      </c>
      <c r="E14" s="80">
        <f>Table4.1_ForegoneSummary[[#This Row],[30-Year Total]]/30</f>
        <v>0</v>
      </c>
      <c r="F14" s="126">
        <f>'4B. Foregone Cost Backup'!C65</f>
        <v>0</v>
      </c>
      <c r="G14" s="81"/>
      <c r="H14" s="81"/>
      <c r="I14" s="81"/>
    </row>
    <row r="15" spans="1:9">
      <c r="A15" s="127"/>
      <c r="B15" s="81"/>
      <c r="C15" s="81"/>
      <c r="D15" s="81" t="s">
        <v>28</v>
      </c>
      <c r="E15" s="287">
        <f>SUBTOTAL(109,Table4.1_ForegoneSummary[Annual Average])</f>
        <v>0</v>
      </c>
      <c r="F15" s="126">
        <f>SUBTOTAL(109,Table4.1_ForegoneSummary[30-Year Total])</f>
        <v>0</v>
      </c>
      <c r="G15" s="81"/>
      <c r="H15" s="81"/>
      <c r="I15" s="81"/>
    </row>
    <row r="16" spans="1:9">
      <c r="A16" s="127"/>
      <c r="B16" s="81"/>
      <c r="C16" s="81"/>
      <c r="D16" s="81"/>
      <c r="E16" s="80"/>
      <c r="F16" s="81"/>
      <c r="G16" s="81"/>
      <c r="H16" s="81"/>
      <c r="I16" s="81"/>
    </row>
    <row r="17" spans="1:9">
      <c r="A17" s="127"/>
      <c r="B17" s="81"/>
      <c r="C17" s="81"/>
      <c r="D17" s="81"/>
      <c r="E17" s="80"/>
      <c r="F17" s="81"/>
      <c r="G17" s="81"/>
      <c r="H17" s="81"/>
      <c r="I17" s="81"/>
    </row>
    <row r="18" spans="1:9">
      <c r="A18" s="127"/>
      <c r="B18" s="81"/>
      <c r="C18" s="81"/>
      <c r="D18" s="81"/>
      <c r="E18" s="80"/>
      <c r="F18" s="81"/>
      <c r="G18" s="81"/>
      <c r="H18" s="81"/>
      <c r="I18" s="81"/>
    </row>
    <row r="19" spans="1:9">
      <c r="A19" s="127"/>
      <c r="B19" s="81"/>
      <c r="C19" s="81"/>
      <c r="D19" s="81"/>
      <c r="E19" s="80"/>
      <c r="F19" s="81"/>
      <c r="G19" s="81"/>
      <c r="H19" s="81"/>
      <c r="I19" s="81"/>
    </row>
    <row r="20" spans="1:9">
      <c r="A20" s="127"/>
      <c r="B20" s="81"/>
      <c r="C20" s="81"/>
      <c r="D20" s="81"/>
      <c r="E20" s="80"/>
      <c r="F20" s="81"/>
      <c r="G20" s="81"/>
      <c r="H20" s="81"/>
      <c r="I20" s="81"/>
    </row>
    <row r="21" spans="1:9">
      <c r="A21" s="127"/>
      <c r="B21" s="81"/>
      <c r="C21" s="81"/>
      <c r="D21" s="81"/>
      <c r="E21" s="80"/>
      <c r="F21" s="81"/>
      <c r="G21" s="81"/>
      <c r="H21" s="81"/>
      <c r="I21" s="81"/>
    </row>
    <row r="22" spans="1:9">
      <c r="A22" s="127"/>
      <c r="B22" s="81"/>
      <c r="C22" s="81"/>
      <c r="D22" s="81"/>
      <c r="E22" s="80"/>
      <c r="F22" s="81"/>
      <c r="G22" s="81"/>
      <c r="H22" s="81"/>
      <c r="I22" s="81"/>
    </row>
    <row r="23" spans="1:9">
      <c r="A23" s="127"/>
      <c r="B23" s="81"/>
      <c r="C23" s="81"/>
      <c r="D23" s="81"/>
      <c r="E23" s="80"/>
      <c r="F23" s="81"/>
      <c r="G23" s="81"/>
      <c r="H23" s="81"/>
      <c r="I23" s="81"/>
    </row>
    <row r="24" spans="1:9">
      <c r="A24" s="127"/>
      <c r="B24" s="81"/>
      <c r="C24" s="81"/>
      <c r="D24" s="81"/>
      <c r="E24" s="80"/>
      <c r="F24" s="81"/>
      <c r="G24" s="81"/>
      <c r="H24" s="81"/>
      <c r="I24" s="81"/>
    </row>
    <row r="25" spans="1:9" s="82" customFormat="1">
      <c r="D25" s="81"/>
      <c r="E25" s="80"/>
      <c r="F25" s="81"/>
    </row>
    <row r="26" spans="1:9">
      <c r="D26" s="82"/>
      <c r="E26" s="82"/>
      <c r="F26" s="82"/>
    </row>
    <row r="33" ht="15" customHeight="1"/>
    <row r="40" ht="28.5" customHeight="1"/>
    <row r="43" ht="15" customHeight="1"/>
    <row r="45" ht="15" customHeight="1"/>
    <row r="54" spans="5:5" ht="15" customHeight="1"/>
    <row r="64" spans="5:5" s="61" customFormat="1">
      <c r="E64" s="78"/>
    </row>
    <row r="65" spans="1:6">
      <c r="A65" s="61"/>
      <c r="E65" s="61"/>
    </row>
    <row r="66" spans="1:6">
      <c r="E66" s="86"/>
      <c r="F66" s="85"/>
    </row>
  </sheetData>
  <mergeCells count="2">
    <mergeCell ref="A1:I1"/>
    <mergeCell ref="A6:I6"/>
  </mergeCells>
  <pageMargins left="0.7" right="0.7" top="0.75" bottom="0.75" header="0.3" footer="0.3"/>
  <pageSetup paperSize="3" scale="77" fitToHeight="0" orientation="landscape"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B2DF5-707B-4E93-AC2C-4319DF3C306C}">
  <sheetPr>
    <tabColor theme="0" tint="-0.249977111117893"/>
    <pageSetUpPr fitToPage="1"/>
  </sheetPr>
  <dimension ref="A1:K68"/>
  <sheetViews>
    <sheetView showGridLines="0" topLeftCell="A13" zoomScale="70" zoomScaleNormal="70" workbookViewId="0">
      <selection activeCell="A6" sqref="A6:I6"/>
    </sheetView>
  </sheetViews>
  <sheetFormatPr defaultColWidth="9.140625" defaultRowHeight="12.75"/>
  <cols>
    <col min="1" max="1" width="24" customWidth="1"/>
    <col min="2" max="2" width="50.7109375" customWidth="1"/>
    <col min="3" max="3" width="24.140625" customWidth="1"/>
    <col min="4" max="4" width="26" customWidth="1"/>
    <col min="5" max="5" width="28.140625" customWidth="1"/>
    <col min="6" max="6" width="30" customWidth="1"/>
    <col min="7" max="9" width="10.7109375" customWidth="1"/>
  </cols>
  <sheetData>
    <row r="1" spans="1:11" ht="15" customHeight="1">
      <c r="A1" s="492" t="s">
        <v>281</v>
      </c>
      <c r="B1" s="493"/>
      <c r="C1" s="493"/>
      <c r="D1" s="493"/>
      <c r="E1" s="493"/>
      <c r="F1" s="493"/>
      <c r="G1" s="493"/>
      <c r="H1" s="493"/>
      <c r="I1" s="493"/>
    </row>
    <row r="2" spans="1:11" ht="15" customHeight="1">
      <c r="A2" s="87" t="s">
        <v>1</v>
      </c>
      <c r="B2" s="63" t="str">
        <f>Project_Name</f>
        <v>Completing the I-95 Missing Move and Quonset Connector Ramps</v>
      </c>
      <c r="C2" s="82"/>
      <c r="D2" s="82"/>
      <c r="E2" s="82"/>
      <c r="F2" s="82"/>
      <c r="G2" s="82"/>
      <c r="H2" s="82"/>
      <c r="I2" s="82"/>
    </row>
    <row r="3" spans="1:11" ht="15" customHeight="1">
      <c r="A3" s="87" t="s">
        <v>4</v>
      </c>
      <c r="B3" s="88">
        <f>Date</f>
        <v>45159</v>
      </c>
      <c r="C3" s="82"/>
      <c r="D3" s="82"/>
      <c r="E3" s="82"/>
      <c r="F3" s="82"/>
      <c r="G3" s="82"/>
      <c r="H3" s="82"/>
      <c r="I3" s="82"/>
    </row>
    <row r="4" spans="1:11" ht="30" customHeight="1">
      <c r="A4" s="87"/>
      <c r="B4" s="87"/>
      <c r="C4" s="88"/>
      <c r="D4" s="82"/>
      <c r="E4" s="82"/>
      <c r="F4" s="82"/>
      <c r="G4" s="82"/>
      <c r="H4" s="82"/>
      <c r="I4" s="82"/>
    </row>
    <row r="5" spans="1:11" ht="13.5" thickBot="1">
      <c r="A5" s="87"/>
      <c r="B5" s="87"/>
      <c r="C5" s="88"/>
      <c r="D5" s="82"/>
      <c r="E5" s="82"/>
      <c r="F5" s="82"/>
      <c r="G5" s="82"/>
      <c r="H5" s="82"/>
      <c r="I5" s="82"/>
    </row>
    <row r="6" spans="1:11" ht="30" customHeight="1" thickBot="1">
      <c r="A6" s="102" t="s">
        <v>99</v>
      </c>
      <c r="B6" s="489"/>
      <c r="C6" s="490"/>
      <c r="D6" s="490"/>
      <c r="E6" s="490"/>
      <c r="F6" s="490"/>
      <c r="G6" s="490"/>
      <c r="H6" s="490"/>
      <c r="I6" s="491"/>
    </row>
    <row r="7" spans="1:11" ht="30" customHeight="1" thickBot="1">
      <c r="A7" s="102" t="s">
        <v>101</v>
      </c>
      <c r="B7" s="489"/>
      <c r="C7" s="490"/>
      <c r="D7" s="490"/>
      <c r="E7" s="490"/>
      <c r="F7" s="490"/>
      <c r="G7" s="490"/>
      <c r="H7" s="490"/>
      <c r="I7" s="491"/>
    </row>
    <row r="8" spans="1:11" ht="30" customHeight="1" thickBot="1">
      <c r="A8" s="102" t="s">
        <v>103</v>
      </c>
      <c r="B8" s="489"/>
      <c r="C8" s="490"/>
      <c r="D8" s="490"/>
      <c r="E8" s="490"/>
      <c r="F8" s="490"/>
      <c r="G8" s="490"/>
      <c r="H8" s="490"/>
      <c r="I8" s="491"/>
    </row>
    <row r="9" spans="1:11" ht="30" customHeight="1" thickBot="1">
      <c r="A9" s="102" t="s">
        <v>105</v>
      </c>
      <c r="B9" s="489"/>
      <c r="C9" s="490"/>
      <c r="D9" s="490"/>
      <c r="E9" s="490"/>
      <c r="F9" s="490"/>
      <c r="G9" s="490"/>
      <c r="H9" s="490"/>
      <c r="I9" s="491"/>
    </row>
    <row r="10" spans="1:11" ht="30" customHeight="1" thickBot="1">
      <c r="A10" s="102" t="s">
        <v>107</v>
      </c>
      <c r="B10" s="489"/>
      <c r="C10" s="490"/>
      <c r="D10" s="490"/>
      <c r="E10" s="490"/>
      <c r="F10" s="490"/>
      <c r="G10" s="490"/>
      <c r="H10" s="490"/>
      <c r="I10" s="491"/>
    </row>
    <row r="12" spans="1:11">
      <c r="B12" s="476"/>
      <c r="C12" s="476"/>
      <c r="D12" s="476"/>
      <c r="E12" s="476"/>
      <c r="F12" s="82"/>
      <c r="G12" s="82"/>
      <c r="H12" s="82"/>
      <c r="I12" s="82"/>
      <c r="J12" s="82"/>
    </row>
    <row r="13" spans="1:11">
      <c r="B13" s="166"/>
      <c r="C13" s="166"/>
      <c r="D13" s="166"/>
      <c r="E13" s="166"/>
      <c r="F13" s="82"/>
      <c r="G13" s="82"/>
      <c r="H13" s="82"/>
      <c r="I13" s="82"/>
      <c r="J13" s="82"/>
    </row>
    <row r="14" spans="1:11">
      <c r="B14" s="269" t="s">
        <v>282</v>
      </c>
      <c r="C14" s="134" t="s">
        <v>283</v>
      </c>
      <c r="D14" s="134" t="s">
        <v>284</v>
      </c>
      <c r="E14" s="134" t="s">
        <v>285</v>
      </c>
      <c r="F14" s="270" t="s">
        <v>286</v>
      </c>
      <c r="G14" s="61"/>
      <c r="H14" s="61"/>
      <c r="I14" s="61"/>
      <c r="J14" s="61"/>
      <c r="K14" s="61"/>
    </row>
    <row r="15" spans="1:11">
      <c r="B15" s="355"/>
      <c r="C15" s="203"/>
      <c r="D15" s="356"/>
      <c r="E15" s="357"/>
      <c r="F15" s="215">
        <f>Table56[[#This Row],[Iterations]]*Table56[[#This Row],[Unit Cost/EA/SF]]*Table56[[#This Row],[Square Feet/Each]]</f>
        <v>0</v>
      </c>
      <c r="G15" s="68"/>
      <c r="H15" s="61"/>
      <c r="I15" s="61"/>
      <c r="J15" s="61"/>
      <c r="K15" s="61"/>
    </row>
    <row r="16" spans="1:11">
      <c r="B16" s="355"/>
      <c r="C16" s="203"/>
      <c r="D16" s="356"/>
      <c r="E16" s="357"/>
      <c r="F16" s="215">
        <f>Table56[[#This Row],[Iterations]]*Table56[[#This Row],[Unit Cost/EA/SF]]*Table56[[#This Row],[Square Feet/Each]]</f>
        <v>0</v>
      </c>
      <c r="G16" s="68"/>
      <c r="H16" s="61"/>
      <c r="I16" s="61"/>
      <c r="J16" s="61"/>
      <c r="K16" s="61"/>
    </row>
    <row r="17" spans="2:11">
      <c r="B17" s="355"/>
      <c r="C17" s="203"/>
      <c r="D17" s="356"/>
      <c r="E17" s="357"/>
      <c r="F17" s="215">
        <f>Table56[[#This Row],[Iterations]]*Table56[[#This Row],[Unit Cost/EA/SF]]*Table56[[#This Row],[Square Feet/Each]]</f>
        <v>0</v>
      </c>
      <c r="G17" s="68"/>
      <c r="H17" s="61"/>
      <c r="I17" s="61"/>
      <c r="J17" s="61"/>
      <c r="K17" s="61"/>
    </row>
    <row r="18" spans="2:11">
      <c r="B18" s="355"/>
      <c r="C18" s="203"/>
      <c r="D18" s="356"/>
      <c r="E18" s="357"/>
      <c r="F18" s="215">
        <f>Table56[[#This Row],[Iterations]]*Table56[[#This Row],[Unit Cost/EA/SF]]*Table56[[#This Row],[Square Feet/Each]]</f>
        <v>0</v>
      </c>
      <c r="G18" s="68"/>
      <c r="H18" s="61"/>
      <c r="I18" s="61"/>
      <c r="J18" s="61"/>
      <c r="K18" s="61"/>
    </row>
    <row r="19" spans="2:11">
      <c r="B19" s="355"/>
      <c r="C19" s="203"/>
      <c r="D19" s="356"/>
      <c r="E19" s="357"/>
      <c r="F19" s="215">
        <f>Table56[[#This Row],[Iterations]]*Table56[[#This Row],[Unit Cost/EA/SF]]*Table56[[#This Row],[Square Feet/Each]]</f>
        <v>0</v>
      </c>
      <c r="G19" s="68"/>
      <c r="H19" s="61"/>
      <c r="I19" s="61"/>
      <c r="J19" s="61"/>
      <c r="K19" s="61"/>
    </row>
    <row r="20" spans="2:11">
      <c r="B20" s="355"/>
      <c r="C20" s="203"/>
      <c r="D20" s="356"/>
      <c r="E20" s="357"/>
      <c r="F20" s="215">
        <f>Table56[[#This Row],[Iterations]]*Table56[[#This Row],[Unit Cost/EA/SF]]*Table56[[#This Row],[Square Feet/Each]]</f>
        <v>0</v>
      </c>
      <c r="G20" s="68"/>
      <c r="H20" s="61"/>
      <c r="I20" s="61"/>
      <c r="J20" s="61"/>
      <c r="K20" s="61"/>
    </row>
    <row r="21" spans="2:11">
      <c r="B21" s="355"/>
      <c r="C21" s="203"/>
      <c r="D21" s="356"/>
      <c r="E21" s="357"/>
      <c r="F21" s="215">
        <f>Table56[[#This Row],[Iterations]]*Table56[[#This Row],[Unit Cost/EA/SF]]*Table56[[#This Row],[Square Feet/Each]]</f>
        <v>0</v>
      </c>
      <c r="G21" s="68"/>
    </row>
    <row r="22" spans="2:11">
      <c r="B22" s="355"/>
      <c r="C22" s="203"/>
      <c r="D22" s="356"/>
      <c r="E22" s="357"/>
      <c r="F22" s="215">
        <f>Table56[[#This Row],[Iterations]]*Table56[[#This Row],[Unit Cost/EA/SF]]*Table56[[#This Row],[Square Feet/Each]]</f>
        <v>0</v>
      </c>
      <c r="G22" s="68"/>
    </row>
    <row r="23" spans="2:11">
      <c r="B23" s="355"/>
      <c r="C23" s="203"/>
      <c r="D23" s="356"/>
      <c r="E23" s="357"/>
      <c r="F23" s="215">
        <f>Table56[[#This Row],[Iterations]]*Table56[[#This Row],[Unit Cost/EA/SF]]*Table56[[#This Row],[Square Feet/Each]]</f>
        <v>0</v>
      </c>
      <c r="G23" s="68"/>
    </row>
    <row r="24" spans="2:11">
      <c r="B24" s="275" t="s">
        <v>287</v>
      </c>
      <c r="C24" s="276"/>
      <c r="D24" s="276"/>
      <c r="E24" s="276"/>
      <c r="F24" s="277">
        <f>SUM(F15:F23)</f>
        <v>0</v>
      </c>
      <c r="G24" s="68"/>
    </row>
    <row r="25" spans="2:11">
      <c r="B25" s="67" t="s">
        <v>288</v>
      </c>
      <c r="C25" s="67"/>
      <c r="D25" s="268"/>
      <c r="E25" s="268"/>
      <c r="F25" s="83">
        <f>F24*0.3</f>
        <v>0</v>
      </c>
      <c r="G25" s="68"/>
    </row>
    <row r="26" spans="2:11" ht="25.5">
      <c r="B26" s="278" t="s">
        <v>289</v>
      </c>
      <c r="C26" s="279"/>
      <c r="D26" s="280"/>
      <c r="E26" s="280"/>
      <c r="F26" s="277">
        <f>SUM(F24:F25)</f>
        <v>0</v>
      </c>
      <c r="G26" s="68"/>
    </row>
    <row r="27" spans="2:11">
      <c r="B27" s="67"/>
      <c r="C27" s="67"/>
      <c r="D27" s="268"/>
      <c r="E27" s="83"/>
      <c r="F27" s="68"/>
    </row>
    <row r="28" spans="2:11">
      <c r="B28" s="476"/>
      <c r="C28" s="476"/>
      <c r="D28" s="476"/>
      <c r="E28" s="476"/>
      <c r="F28" s="68"/>
    </row>
    <row r="29" spans="2:11">
      <c r="B29" s="166"/>
      <c r="C29" s="166"/>
      <c r="D29" s="166"/>
      <c r="E29" s="166"/>
      <c r="F29" s="68"/>
    </row>
    <row r="30" spans="2:11">
      <c r="B30" s="269" t="s">
        <v>282</v>
      </c>
      <c r="C30" s="134" t="s">
        <v>283</v>
      </c>
      <c r="D30" s="134" t="s">
        <v>284</v>
      </c>
      <c r="E30" s="134" t="s">
        <v>285</v>
      </c>
      <c r="F30" s="270" t="s">
        <v>286</v>
      </c>
      <c r="G30" s="68"/>
    </row>
    <row r="31" spans="2:11">
      <c r="B31" s="355"/>
      <c r="C31" s="203"/>
      <c r="D31" s="356"/>
      <c r="E31" s="357"/>
      <c r="F31" s="215">
        <f>Table57[[#This Row],[Iterations]]*Table57[[#This Row],[Unit Cost/EA/SF]]*Table57[[#This Row],[Square Feet/Each]]</f>
        <v>0</v>
      </c>
      <c r="G31" s="68"/>
    </row>
    <row r="32" spans="2:11">
      <c r="B32" s="355"/>
      <c r="C32" s="203"/>
      <c r="D32" s="356"/>
      <c r="E32" s="357"/>
      <c r="F32" s="215">
        <f>Table57[[#This Row],[Iterations]]*Table57[[#This Row],[Unit Cost/EA/SF]]*Table57[[#This Row],[Square Feet/Each]]</f>
        <v>0</v>
      </c>
      <c r="G32" s="68"/>
    </row>
    <row r="33" spans="2:11">
      <c r="B33" s="355"/>
      <c r="C33" s="203"/>
      <c r="D33" s="356"/>
      <c r="E33" s="357"/>
      <c r="F33" s="215">
        <f>Table57[[#This Row],[Iterations]]*Table57[[#This Row],[Unit Cost/EA/SF]]*Table57[[#This Row],[Square Feet/Each]]</f>
        <v>0</v>
      </c>
      <c r="G33" s="68"/>
    </row>
    <row r="34" spans="2:11">
      <c r="B34" s="355"/>
      <c r="C34" s="203"/>
      <c r="D34" s="356"/>
      <c r="E34" s="357"/>
      <c r="F34" s="215">
        <f>Table57[[#This Row],[Iterations]]*Table57[[#This Row],[Unit Cost/EA/SF]]*Table57[[#This Row],[Square Feet/Each]]</f>
        <v>0</v>
      </c>
      <c r="G34" s="68"/>
      <c r="H34" s="61"/>
      <c r="I34" s="61"/>
      <c r="J34" s="61"/>
      <c r="K34" s="61"/>
    </row>
    <row r="35" spans="2:11">
      <c r="B35" s="355"/>
      <c r="C35" s="203"/>
      <c r="D35" s="356"/>
      <c r="E35" s="357"/>
      <c r="F35" s="215">
        <f>Table57[[#This Row],[Iterations]]*Table57[[#This Row],[Unit Cost/EA/SF]]*Table57[[#This Row],[Square Feet/Each]]</f>
        <v>0</v>
      </c>
      <c r="G35" s="68"/>
      <c r="H35" s="61"/>
      <c r="I35" s="61"/>
      <c r="J35" s="61"/>
      <c r="K35" s="61"/>
    </row>
    <row r="36" spans="2:11">
      <c r="B36" s="355"/>
      <c r="C36" s="203"/>
      <c r="D36" s="356"/>
      <c r="E36" s="357"/>
      <c r="F36" s="215">
        <f>Table57[[#This Row],[Iterations]]*Table57[[#This Row],[Unit Cost/EA/SF]]*Table57[[#This Row],[Square Feet/Each]]</f>
        <v>0</v>
      </c>
      <c r="G36" s="68"/>
      <c r="H36" s="61"/>
      <c r="I36" s="61"/>
      <c r="J36" s="61"/>
      <c r="K36" s="61"/>
    </row>
    <row r="37" spans="2:11">
      <c r="B37" s="355"/>
      <c r="C37" s="203"/>
      <c r="D37" s="356"/>
      <c r="E37" s="357"/>
      <c r="F37" s="215">
        <f>Table57[[#This Row],[Iterations]]*Table57[[#This Row],[Unit Cost/EA/SF]]*Table57[[#This Row],[Square Feet/Each]]</f>
        <v>0</v>
      </c>
      <c r="G37" s="68"/>
      <c r="H37" s="61"/>
      <c r="I37" s="61"/>
      <c r="J37" s="61"/>
      <c r="K37" s="61"/>
    </row>
    <row r="38" spans="2:11">
      <c r="B38" s="355"/>
      <c r="C38" s="203"/>
      <c r="D38" s="356"/>
      <c r="E38" s="357"/>
      <c r="F38" s="215">
        <f>Table57[[#This Row],[Iterations]]*Table57[[#This Row],[Unit Cost/EA/SF]]*Table57[[#This Row],[Square Feet/Each]]</f>
        <v>0</v>
      </c>
      <c r="G38" s="68"/>
      <c r="H38" s="61"/>
      <c r="I38" s="61"/>
      <c r="J38" s="61"/>
      <c r="K38" s="61"/>
    </row>
    <row r="39" spans="2:11">
      <c r="B39" s="355"/>
      <c r="C39" s="203"/>
      <c r="D39" s="356"/>
      <c r="E39" s="357"/>
      <c r="F39" s="215">
        <f>Table57[[#This Row],[Iterations]]*Table57[[#This Row],[Unit Cost/EA/SF]]*Table57[[#This Row],[Square Feet/Each]]</f>
        <v>0</v>
      </c>
      <c r="G39" s="68"/>
      <c r="H39" s="61"/>
      <c r="I39" s="61"/>
      <c r="J39" s="61"/>
      <c r="K39" s="61"/>
    </row>
    <row r="40" spans="2:11">
      <c r="B40" s="275" t="s">
        <v>287</v>
      </c>
      <c r="C40" s="281"/>
      <c r="D40" s="281"/>
      <c r="E40" s="281"/>
      <c r="F40" s="277">
        <f>SUM(F31:F39)</f>
        <v>0</v>
      </c>
      <c r="G40" s="68"/>
      <c r="H40" s="61"/>
      <c r="I40" s="61"/>
      <c r="J40" s="61"/>
      <c r="K40" s="61"/>
    </row>
    <row r="41" spans="2:11">
      <c r="B41" s="271" t="s">
        <v>288</v>
      </c>
      <c r="C41" s="67"/>
      <c r="D41" s="67"/>
      <c r="E41" s="67"/>
      <c r="F41" s="83">
        <f>F40*0.3</f>
        <v>0</v>
      </c>
      <c r="G41" s="68"/>
      <c r="H41" s="61"/>
      <c r="I41" s="61"/>
      <c r="J41" s="61"/>
      <c r="K41" s="61"/>
    </row>
    <row r="42" spans="2:11" ht="25.5">
      <c r="B42" s="278" t="s">
        <v>290</v>
      </c>
      <c r="C42" s="276"/>
      <c r="D42" s="276"/>
      <c r="E42" s="276"/>
      <c r="F42" s="277">
        <f>SUM(F40:F41)</f>
        <v>0</v>
      </c>
      <c r="G42" s="68"/>
      <c r="H42" s="61"/>
      <c r="I42" s="61"/>
      <c r="J42" s="61"/>
      <c r="K42" s="61"/>
    </row>
    <row r="43" spans="2:11">
      <c r="B43" s="67"/>
      <c r="C43" s="67"/>
      <c r="D43" s="268"/>
      <c r="E43" s="83"/>
      <c r="F43" s="68"/>
      <c r="G43" s="61"/>
      <c r="H43" s="61"/>
      <c r="I43" s="61"/>
      <c r="J43" s="61"/>
    </row>
    <row r="44" spans="2:11">
      <c r="B44" s="476"/>
      <c r="C44" s="476"/>
      <c r="D44" s="476"/>
      <c r="E44" s="476"/>
      <c r="F44" s="68"/>
      <c r="G44" s="61"/>
      <c r="H44" s="61"/>
      <c r="I44" s="61"/>
      <c r="J44" s="61"/>
    </row>
    <row r="45" spans="2:11">
      <c r="B45" s="166"/>
      <c r="C45" s="166"/>
      <c r="D45" s="166"/>
      <c r="E45" s="166"/>
      <c r="F45" s="68"/>
      <c r="G45" s="61"/>
      <c r="H45" s="61"/>
      <c r="I45" s="61"/>
      <c r="J45" s="61"/>
    </row>
    <row r="46" spans="2:11">
      <c r="B46" s="269" t="s">
        <v>282</v>
      </c>
      <c r="C46" s="134" t="s">
        <v>283</v>
      </c>
      <c r="D46" s="134" t="s">
        <v>284</v>
      </c>
      <c r="E46" s="134" t="s">
        <v>285</v>
      </c>
      <c r="F46" s="270" t="s">
        <v>286</v>
      </c>
      <c r="G46" s="68"/>
      <c r="H46" s="61"/>
      <c r="I46" s="61"/>
      <c r="J46" s="61"/>
      <c r="K46" s="61"/>
    </row>
    <row r="47" spans="2:11">
      <c r="B47" s="355"/>
      <c r="C47" s="203"/>
      <c r="D47" s="356"/>
      <c r="E47" s="357"/>
      <c r="F47" s="215">
        <f>Table58[[#This Row],[Iterations]]*Table58[[#This Row],[Unit Cost/EA/SF]]*Table58[[#This Row],[Square Feet/Each]]</f>
        <v>0</v>
      </c>
      <c r="G47" s="68"/>
      <c r="H47" s="61"/>
      <c r="I47" s="61"/>
      <c r="J47" s="61"/>
      <c r="K47" s="61"/>
    </row>
    <row r="48" spans="2:11">
      <c r="B48" s="355"/>
      <c r="C48" s="203"/>
      <c r="D48" s="356"/>
      <c r="E48" s="357"/>
      <c r="F48" s="215">
        <f>Table58[[#This Row],[Iterations]]*Table58[[#This Row],[Unit Cost/EA/SF]]*Table58[[#This Row],[Square Feet/Each]]</f>
        <v>0</v>
      </c>
      <c r="G48" s="68"/>
      <c r="H48" s="61"/>
      <c r="I48" s="61"/>
      <c r="J48" s="61"/>
      <c r="K48" s="61"/>
    </row>
    <row r="49" spans="2:11">
      <c r="B49" s="355"/>
      <c r="C49" s="203"/>
      <c r="D49" s="356"/>
      <c r="E49" s="357"/>
      <c r="F49" s="215">
        <f>Table58[[#This Row],[Iterations]]*Table58[[#This Row],[Unit Cost/EA/SF]]*Table58[[#This Row],[Square Feet/Each]]</f>
        <v>0</v>
      </c>
      <c r="G49" s="68"/>
      <c r="H49" s="61"/>
      <c r="I49" s="61"/>
      <c r="J49" s="61"/>
      <c r="K49" s="61"/>
    </row>
    <row r="50" spans="2:11">
      <c r="B50" s="355"/>
      <c r="C50" s="203"/>
      <c r="D50" s="356"/>
      <c r="E50" s="357"/>
      <c r="F50" s="215">
        <f>Table58[[#This Row],[Iterations]]*Table58[[#This Row],[Unit Cost/EA/SF]]*Table58[[#This Row],[Square Feet/Each]]</f>
        <v>0</v>
      </c>
      <c r="G50" s="68"/>
      <c r="H50" s="61"/>
      <c r="I50" s="61"/>
      <c r="J50" s="61"/>
      <c r="K50" s="61"/>
    </row>
    <row r="51" spans="2:11">
      <c r="B51" s="275" t="s">
        <v>287</v>
      </c>
      <c r="C51" s="281"/>
      <c r="D51" s="281"/>
      <c r="E51" s="281"/>
      <c r="F51" s="277">
        <f>SUM(F47:F50)</f>
        <v>0</v>
      </c>
      <c r="G51" s="68"/>
      <c r="H51" s="61"/>
      <c r="I51" s="61"/>
      <c r="J51" s="61"/>
      <c r="K51" s="61"/>
    </row>
    <row r="52" spans="2:11">
      <c r="B52" s="271" t="s">
        <v>288</v>
      </c>
      <c r="C52" s="67"/>
      <c r="D52" s="67"/>
      <c r="E52" s="67"/>
      <c r="F52" s="83">
        <f>F51*0.3</f>
        <v>0</v>
      </c>
      <c r="G52" s="68"/>
      <c r="H52" s="61"/>
      <c r="I52" s="61"/>
      <c r="J52" s="61"/>
      <c r="K52" s="61"/>
    </row>
    <row r="53" spans="2:11">
      <c r="B53" s="278" t="s">
        <v>291</v>
      </c>
      <c r="C53" s="276"/>
      <c r="D53" s="276"/>
      <c r="E53" s="276"/>
      <c r="F53" s="277">
        <f>SUM(F51:F52)</f>
        <v>0</v>
      </c>
      <c r="G53" s="68"/>
      <c r="H53" s="61"/>
      <c r="I53" s="61"/>
      <c r="J53" s="61"/>
      <c r="K53" s="61"/>
    </row>
    <row r="55" spans="2:11">
      <c r="B55" s="521" t="s">
        <v>292</v>
      </c>
      <c r="C55" s="521"/>
      <c r="D55" s="521"/>
      <c r="E55" s="521"/>
    </row>
    <row r="56" spans="2:11">
      <c r="B56" s="283"/>
      <c r="C56" s="283"/>
      <c r="D56" s="283"/>
      <c r="E56" s="283"/>
    </row>
    <row r="57" spans="2:11">
      <c r="B57" s="283" t="s">
        <v>293</v>
      </c>
      <c r="C57" s="283" t="s">
        <v>8</v>
      </c>
      <c r="D57" s="283" t="s">
        <v>294</v>
      </c>
      <c r="E57" s="283"/>
    </row>
    <row r="58" spans="2:11" ht="12.75" customHeight="1">
      <c r="B58" s="62" t="s">
        <v>295</v>
      </c>
      <c r="C58" s="272">
        <v>36400</v>
      </c>
      <c r="D58" s="61" t="s">
        <v>296</v>
      </c>
    </row>
    <row r="59" spans="2:11" ht="63.75" customHeight="1">
      <c r="B59" s="62" t="s">
        <v>297</v>
      </c>
      <c r="C59" s="156"/>
      <c r="D59" s="61"/>
      <c r="E59" s="522" t="s">
        <v>298</v>
      </c>
      <c r="F59" s="522"/>
    </row>
    <row r="60" spans="2:11">
      <c r="B60" s="62" t="s">
        <v>299</v>
      </c>
      <c r="C60" s="156"/>
      <c r="D60" s="61"/>
      <c r="E60" s="522"/>
      <c r="F60" s="522"/>
    </row>
    <row r="61" spans="2:11">
      <c r="B61" s="62" t="s">
        <v>300</v>
      </c>
      <c r="C61" s="208">
        <f>All_Purpose_Travel</f>
        <v>18.8</v>
      </c>
      <c r="D61" s="61" t="s">
        <v>301</v>
      </c>
      <c r="E61" s="522"/>
      <c r="F61" s="522"/>
    </row>
    <row r="62" spans="2:11">
      <c r="B62" s="62" t="s">
        <v>302</v>
      </c>
      <c r="C62" s="208">
        <f>Truck_Travel</f>
        <v>32.4</v>
      </c>
      <c r="D62" s="61" t="s">
        <v>301</v>
      </c>
      <c r="E62" s="522"/>
      <c r="F62" s="522"/>
    </row>
    <row r="63" spans="2:11">
      <c r="B63" s="62" t="s">
        <v>303</v>
      </c>
      <c r="C63" s="284"/>
      <c r="D63" s="61" t="s">
        <v>304</v>
      </c>
      <c r="E63" s="522"/>
      <c r="F63" s="522"/>
    </row>
    <row r="64" spans="2:11">
      <c r="B64" s="62" t="s">
        <v>305</v>
      </c>
      <c r="C64" s="284"/>
      <c r="D64" s="61" t="s">
        <v>306</v>
      </c>
      <c r="E64" s="522"/>
      <c r="F64" s="522"/>
    </row>
    <row r="65" spans="2:5">
      <c r="B65" s="285" t="s">
        <v>307</v>
      </c>
      <c r="C65" s="274">
        <f>(C61*(C59*C58)+C62*(C60*C58))*C63*C64</f>
        <v>0</v>
      </c>
      <c r="D65" s="61"/>
      <c r="E65" s="282"/>
    </row>
    <row r="66" spans="2:5">
      <c r="B66" s="273"/>
      <c r="C66" s="61"/>
      <c r="D66" s="61"/>
      <c r="E66" s="84"/>
    </row>
    <row r="67" spans="2:5">
      <c r="B67" s="63"/>
      <c r="C67" s="63"/>
      <c r="D67" s="63"/>
      <c r="E67" s="274"/>
    </row>
    <row r="68" spans="2:5">
      <c r="B68" s="61"/>
      <c r="C68" s="61"/>
      <c r="D68" s="61"/>
      <c r="E68" s="61"/>
    </row>
  </sheetData>
  <mergeCells count="11">
    <mergeCell ref="B44:E44"/>
    <mergeCell ref="B55:E55"/>
    <mergeCell ref="B12:E12"/>
    <mergeCell ref="B28:E28"/>
    <mergeCell ref="E59:F64"/>
    <mergeCell ref="B10:I10"/>
    <mergeCell ref="A1:I1"/>
    <mergeCell ref="B6:I6"/>
    <mergeCell ref="B7:I7"/>
    <mergeCell ref="B8:I8"/>
    <mergeCell ref="B9:I9"/>
  </mergeCells>
  <pageMargins left="0.7" right="0.7" top="0.75" bottom="0.75" header="0.3" footer="0.3"/>
  <pageSetup scale="58" fitToHeight="0" orientation="landscape" r:id="rId1"/>
  <rowBreaks count="1" manualBreakCount="1">
    <brk id="42" max="16383" man="1"/>
  </rowBreaks>
  <drawing r:id="rId2"/>
  <tableParts count="4">
    <tablePart r:id="rId3"/>
    <tablePart r:id="rId4"/>
    <tablePart r:id="rId5"/>
    <tablePart r:id="rId6"/>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61C47-F52A-45CF-AFB3-1BDF739BAA5F}">
  <sheetPr>
    <tabColor theme="9"/>
    <pageSetUpPr fitToPage="1"/>
  </sheetPr>
  <dimension ref="A1:J65"/>
  <sheetViews>
    <sheetView showGridLines="0" zoomScale="85" zoomScaleNormal="85" workbookViewId="0">
      <selection activeCell="A6" sqref="A6:I10"/>
    </sheetView>
  </sheetViews>
  <sheetFormatPr defaultColWidth="9.140625" defaultRowHeight="12.75"/>
  <cols>
    <col min="1" max="1" width="15.28515625" style="271" customWidth="1"/>
    <col min="2" max="2" width="15.7109375" style="67" customWidth="1"/>
    <col min="3" max="3" width="19.42578125" style="67" customWidth="1"/>
    <col min="4" max="4" width="22.42578125" style="67" bestFit="1" customWidth="1"/>
    <col min="5" max="5" width="20.7109375" style="291" bestFit="1" customWidth="1"/>
    <col min="6" max="6" width="19.140625" style="67" bestFit="1" customWidth="1"/>
    <col min="7" max="7" width="38.5703125" style="67" customWidth="1"/>
    <col min="8" max="8" width="15.7109375" style="67" customWidth="1"/>
    <col min="9" max="9" width="8.7109375" style="67" customWidth="1"/>
    <col min="10" max="16384" width="9.140625" style="67"/>
  </cols>
  <sheetData>
    <row r="1" spans="1:10" ht="15" customHeight="1">
      <c r="A1" s="149" t="s">
        <v>308</v>
      </c>
      <c r="B1" s="354"/>
      <c r="C1" s="354"/>
      <c r="D1" s="354"/>
      <c r="E1" s="354"/>
      <c r="F1" s="354"/>
      <c r="G1" s="354"/>
      <c r="H1" s="354"/>
      <c r="I1" s="354"/>
    </row>
    <row r="2" spans="1:10" ht="15" customHeight="1">
      <c r="A2" s="139" t="s">
        <v>1</v>
      </c>
      <c r="B2" s="63" t="s">
        <v>59</v>
      </c>
    </row>
    <row r="3" spans="1:10" ht="15" customHeight="1">
      <c r="A3" s="139" t="s">
        <v>4</v>
      </c>
      <c r="B3" s="72">
        <f ca="1">TODAY()</f>
        <v>45159</v>
      </c>
    </row>
    <row r="4" spans="1:10" ht="15" customHeight="1">
      <c r="B4" s="65"/>
    </row>
    <row r="5" spans="1:10" ht="13.5" thickBot="1"/>
    <row r="6" spans="1:10" ht="240" customHeight="1" thickBot="1">
      <c r="A6" s="467"/>
      <c r="B6" s="468"/>
      <c r="C6" s="468"/>
      <c r="D6" s="468"/>
      <c r="E6" s="468"/>
      <c r="F6" s="468"/>
      <c r="G6" s="468"/>
      <c r="H6" s="468"/>
      <c r="I6" s="469"/>
    </row>
    <row r="7" spans="1:10">
      <c r="A7" s="127"/>
      <c r="B7" s="81"/>
      <c r="C7" s="81"/>
      <c r="D7" s="81"/>
      <c r="E7" s="80"/>
      <c r="F7" s="81"/>
      <c r="G7" s="81"/>
      <c r="H7" s="81"/>
      <c r="I7" s="81"/>
    </row>
    <row r="8" spans="1:10">
      <c r="A8" s="127"/>
      <c r="C8" s="71" t="s">
        <v>309</v>
      </c>
      <c r="D8" s="81"/>
      <c r="E8" s="81"/>
      <c r="G8" s="80"/>
      <c r="H8" s="81"/>
      <c r="I8" s="81"/>
    </row>
    <row r="9" spans="1:10">
      <c r="A9" s="127"/>
      <c r="C9" s="81"/>
      <c r="D9" s="81"/>
      <c r="E9" s="81"/>
      <c r="G9" s="80"/>
      <c r="H9" s="81"/>
      <c r="I9" s="81"/>
    </row>
    <row r="10" spans="1:10">
      <c r="A10" s="127"/>
      <c r="C10" s="122" t="s">
        <v>310</v>
      </c>
      <c r="D10" s="122" t="s">
        <v>311</v>
      </c>
      <c r="E10" s="288" t="s">
        <v>312</v>
      </c>
      <c r="F10" s="288" t="s">
        <v>96</v>
      </c>
      <c r="G10" s="122" t="s">
        <v>313</v>
      </c>
      <c r="H10" s="81"/>
      <c r="I10" s="81"/>
    </row>
    <row r="11" spans="1:10">
      <c r="A11" s="127"/>
      <c r="B11" s="81"/>
      <c r="C11" s="81"/>
      <c r="D11" s="289"/>
      <c r="E11" s="126"/>
      <c r="F11" s="126"/>
      <c r="H11" s="81"/>
      <c r="I11" s="81"/>
      <c r="J11" s="81"/>
    </row>
    <row r="12" spans="1:10">
      <c r="A12" s="127"/>
      <c r="B12" s="81"/>
      <c r="C12" s="81"/>
      <c r="D12" s="289"/>
      <c r="E12" s="126"/>
      <c r="F12" s="126"/>
      <c r="H12" s="81"/>
      <c r="I12" s="81"/>
      <c r="J12" s="81"/>
    </row>
    <row r="13" spans="1:10">
      <c r="A13" s="127"/>
      <c r="B13" s="81"/>
      <c r="C13" s="81" t="s">
        <v>28</v>
      </c>
      <c r="D13" s="290">
        <f>SUBTOTAL(109,Table4.1_ForegoneSummary63[Annual Ridership])</f>
        <v>0</v>
      </c>
      <c r="E13" s="126">
        <f>SUBTOTAL(109,Table4.1_ForegoneSummary63[Annual Benefit])</f>
        <v>0</v>
      </c>
      <c r="F13" s="126">
        <f>SUBTOTAL(109,Table4.1_ForegoneSummary63[30-Year Total])</f>
        <v>0</v>
      </c>
      <c r="G13" s="168"/>
      <c r="H13" s="81"/>
      <c r="I13" s="81"/>
      <c r="J13" s="81"/>
    </row>
    <row r="14" spans="1:10">
      <c r="A14" s="127"/>
      <c r="B14" s="81"/>
      <c r="C14" s="81"/>
      <c r="D14" s="81"/>
      <c r="E14" s="80"/>
      <c r="F14" s="81"/>
      <c r="G14" s="81"/>
      <c r="H14" s="81"/>
      <c r="I14" s="81"/>
    </row>
    <row r="15" spans="1:10">
      <c r="A15" s="127"/>
      <c r="B15" s="81"/>
      <c r="C15" s="81"/>
      <c r="D15" s="81"/>
      <c r="E15" s="80"/>
      <c r="F15" s="81"/>
      <c r="G15" s="81"/>
      <c r="H15" s="81"/>
      <c r="I15" s="81"/>
    </row>
    <row r="16" spans="1:10">
      <c r="A16" s="127"/>
      <c r="B16" s="81"/>
      <c r="C16" s="81"/>
      <c r="D16" s="81"/>
      <c r="E16" s="80"/>
      <c r="F16" s="81"/>
      <c r="G16" s="81"/>
      <c r="H16" s="81"/>
      <c r="I16" s="81"/>
    </row>
    <row r="17" spans="1:9">
      <c r="A17" s="127"/>
      <c r="B17" s="81"/>
      <c r="C17" s="81"/>
      <c r="D17" s="81"/>
      <c r="E17" s="80"/>
      <c r="F17" s="81"/>
      <c r="G17" s="81"/>
      <c r="H17" s="81"/>
      <c r="I17" s="81"/>
    </row>
    <row r="18" spans="1:9">
      <c r="A18" s="127"/>
      <c r="B18" s="81"/>
      <c r="C18" s="81"/>
      <c r="D18" s="81"/>
      <c r="E18" s="80"/>
      <c r="F18" s="81"/>
      <c r="G18" s="81"/>
      <c r="H18" s="81"/>
      <c r="I18" s="81"/>
    </row>
    <row r="19" spans="1:9">
      <c r="A19" s="127"/>
      <c r="B19" s="81"/>
      <c r="C19" s="81"/>
      <c r="D19" s="81"/>
      <c r="E19" s="80"/>
      <c r="F19" s="81"/>
      <c r="G19" s="81"/>
      <c r="H19" s="81"/>
      <c r="I19" s="81"/>
    </row>
    <row r="20" spans="1:9">
      <c r="A20" s="127"/>
      <c r="B20" s="81"/>
      <c r="C20" s="81"/>
      <c r="D20" s="81"/>
      <c r="E20" s="80"/>
      <c r="F20" s="81"/>
      <c r="G20" s="81"/>
      <c r="H20" s="81"/>
      <c r="I20" s="81"/>
    </row>
    <row r="21" spans="1:9">
      <c r="A21" s="127"/>
      <c r="B21" s="81"/>
      <c r="C21" s="81"/>
      <c r="D21" s="81"/>
      <c r="E21" s="80"/>
      <c r="F21" s="81"/>
      <c r="G21" s="81"/>
      <c r="H21" s="81"/>
      <c r="I21" s="81"/>
    </row>
    <row r="22" spans="1:9">
      <c r="A22" s="127"/>
      <c r="B22" s="81"/>
      <c r="C22" s="81"/>
      <c r="D22" s="81"/>
      <c r="E22" s="80"/>
      <c r="F22" s="81"/>
      <c r="G22" s="81"/>
      <c r="H22" s="81"/>
      <c r="I22" s="81"/>
    </row>
    <row r="23" spans="1:9">
      <c r="A23" s="127"/>
      <c r="B23" s="81"/>
      <c r="C23" s="81"/>
      <c r="D23" s="81"/>
      <c r="E23" s="80"/>
      <c r="F23" s="81"/>
      <c r="G23" s="81"/>
      <c r="H23" s="81"/>
      <c r="I23" s="81"/>
    </row>
    <row r="24" spans="1:9">
      <c r="A24" s="127"/>
      <c r="B24" s="81"/>
      <c r="C24" s="81"/>
      <c r="D24" s="81"/>
      <c r="E24" s="81"/>
      <c r="F24" s="81"/>
      <c r="G24" s="81"/>
      <c r="H24" s="81"/>
      <c r="I24" s="81"/>
    </row>
    <row r="25" spans="1:9" s="81" customFormat="1">
      <c r="D25" s="67"/>
      <c r="E25" s="291"/>
      <c r="F25" s="67"/>
    </row>
    <row r="33" spans="2:5" s="271" customFormat="1" ht="15" customHeight="1">
      <c r="B33" s="67"/>
      <c r="C33" s="67"/>
      <c r="D33" s="67"/>
      <c r="E33" s="291"/>
    </row>
    <row r="40" spans="2:5" s="271" customFormat="1" ht="28.5" customHeight="1">
      <c r="B40" s="67"/>
      <c r="C40" s="67"/>
      <c r="D40" s="67"/>
      <c r="E40" s="291"/>
    </row>
    <row r="43" spans="2:5" s="271" customFormat="1" ht="15" customHeight="1">
      <c r="B43" s="67"/>
      <c r="C43" s="67"/>
      <c r="D43" s="67"/>
      <c r="E43" s="291"/>
    </row>
    <row r="45" spans="2:5" s="271" customFormat="1" ht="15" customHeight="1">
      <c r="B45" s="67"/>
      <c r="C45" s="67"/>
      <c r="D45" s="67"/>
      <c r="E45" s="291"/>
    </row>
    <row r="54" spans="5:6" ht="15" customHeight="1"/>
    <row r="63" spans="5:6">
      <c r="E63" s="67"/>
    </row>
    <row r="64" spans="5:6" s="67" customFormat="1">
      <c r="E64" s="292"/>
      <c r="F64" s="140"/>
    </row>
    <row r="65" spans="1:1">
      <c r="A65" s="67"/>
    </row>
  </sheetData>
  <mergeCells count="1">
    <mergeCell ref="A6:I6"/>
  </mergeCells>
  <pageMargins left="0.7" right="0.7" top="0.75" bottom="0.75" header="0.3" footer="0.3"/>
  <pageSetup paperSize="3" scale="71" fitToHeight="0" orientation="landscape" r:id="rId1"/>
  <drawing r:id="rId2"/>
  <tableParts count="1">
    <tablePart r:id="rId3"/>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5F177-9A15-44BB-AF98-9EBE17EAE134}">
  <sheetPr>
    <tabColor theme="0" tint="-0.249977111117893"/>
    <pageSetUpPr fitToPage="1"/>
  </sheetPr>
  <dimension ref="A1:M35"/>
  <sheetViews>
    <sheetView showGridLines="0" workbookViewId="0">
      <selection activeCell="A6" sqref="A6:I10"/>
    </sheetView>
  </sheetViews>
  <sheetFormatPr defaultRowHeight="12.75"/>
  <cols>
    <col min="1" max="1" width="21.7109375" customWidth="1"/>
    <col min="2" max="2" width="36.42578125" bestFit="1" customWidth="1"/>
    <col min="3" max="3" width="18.140625" customWidth="1"/>
    <col min="4" max="4" width="18" customWidth="1"/>
    <col min="5" max="6" width="15.7109375" customWidth="1"/>
    <col min="7" max="7" width="16.140625" customWidth="1"/>
    <col min="8" max="8" width="15.7109375" customWidth="1"/>
    <col min="9" max="9" width="25.7109375" customWidth="1"/>
    <col min="13" max="13" width="45" bestFit="1" customWidth="1"/>
  </cols>
  <sheetData>
    <row r="1" spans="1:13" ht="15" customHeight="1">
      <c r="A1" s="492" t="s">
        <v>314</v>
      </c>
      <c r="B1" s="493"/>
      <c r="C1" s="493"/>
      <c r="D1" s="493"/>
      <c r="E1" s="493"/>
      <c r="F1" s="493"/>
      <c r="G1" s="493"/>
      <c r="H1" s="493"/>
      <c r="I1" s="493"/>
    </row>
    <row r="2" spans="1:13" ht="15" customHeight="1">
      <c r="A2" s="87" t="s">
        <v>1</v>
      </c>
      <c r="B2" s="71" t="s">
        <v>59</v>
      </c>
      <c r="C2" s="82"/>
      <c r="D2" s="82"/>
      <c r="E2" s="82"/>
      <c r="F2" s="82"/>
      <c r="G2" s="82"/>
      <c r="H2" s="82"/>
      <c r="I2" s="82"/>
    </row>
    <row r="3" spans="1:13" ht="15" customHeight="1">
      <c r="A3" s="87" t="s">
        <v>4</v>
      </c>
      <c r="B3" s="88">
        <f ca="1">TODAY()</f>
        <v>45159</v>
      </c>
      <c r="C3" s="82"/>
      <c r="D3" s="82"/>
      <c r="E3" s="82"/>
      <c r="F3" s="82"/>
      <c r="G3" s="82"/>
      <c r="H3" s="82"/>
      <c r="I3" s="82"/>
    </row>
    <row r="4" spans="1:13" ht="30" customHeight="1" thickBot="1">
      <c r="A4" s="82"/>
      <c r="B4" s="82"/>
      <c r="C4" s="82"/>
      <c r="D4" s="82"/>
      <c r="E4" s="82"/>
      <c r="F4" s="82"/>
      <c r="G4" s="82"/>
      <c r="H4" s="82"/>
      <c r="I4" s="82"/>
    </row>
    <row r="5" spans="1:13" ht="30" customHeight="1" thickBot="1">
      <c r="A5" s="102" t="s">
        <v>99</v>
      </c>
      <c r="B5" s="489"/>
      <c r="C5" s="490"/>
      <c r="D5" s="490"/>
      <c r="E5" s="490"/>
      <c r="F5" s="490"/>
      <c r="G5" s="490"/>
      <c r="H5" s="490"/>
      <c r="I5" s="491"/>
    </row>
    <row r="6" spans="1:13" ht="30" customHeight="1" thickBot="1">
      <c r="A6" s="102" t="s">
        <v>101</v>
      </c>
      <c r="B6" s="489"/>
      <c r="C6" s="490"/>
      <c r="D6" s="490"/>
      <c r="E6" s="490"/>
      <c r="F6" s="490"/>
      <c r="G6" s="490"/>
      <c r="H6" s="490"/>
      <c r="I6" s="491"/>
    </row>
    <row r="7" spans="1:13" ht="30" customHeight="1" thickBot="1">
      <c r="A7" s="102" t="s">
        <v>103</v>
      </c>
      <c r="B7" s="489"/>
      <c r="C7" s="490"/>
      <c r="D7" s="490"/>
      <c r="E7" s="490"/>
      <c r="F7" s="490"/>
      <c r="G7" s="490"/>
      <c r="H7" s="490"/>
      <c r="I7" s="491"/>
    </row>
    <row r="8" spans="1:13" ht="30" customHeight="1" thickBot="1">
      <c r="A8" s="102" t="s">
        <v>105</v>
      </c>
      <c r="B8" s="489"/>
      <c r="C8" s="490"/>
      <c r="D8" s="490"/>
      <c r="E8" s="490"/>
      <c r="F8" s="490"/>
      <c r="G8" s="490"/>
      <c r="H8" s="490"/>
      <c r="I8" s="491"/>
    </row>
    <row r="9" spans="1:13" ht="30" customHeight="1" thickBot="1">
      <c r="A9" s="102" t="s">
        <v>107</v>
      </c>
      <c r="B9" s="489"/>
      <c r="C9" s="490"/>
      <c r="D9" s="490"/>
      <c r="E9" s="490"/>
      <c r="F9" s="490"/>
      <c r="G9" s="490"/>
      <c r="H9" s="490"/>
      <c r="I9" s="491"/>
    </row>
    <row r="12" spans="1:13" ht="15">
      <c r="A12" s="300" t="s">
        <v>315</v>
      </c>
      <c r="B12" s="228"/>
      <c r="C12" s="228"/>
      <c r="D12" s="228"/>
      <c r="E12" s="228"/>
      <c r="F12" s="228"/>
      <c r="G12" s="229"/>
      <c r="H12" s="229"/>
      <c r="I12" s="229"/>
      <c r="J12" s="229"/>
      <c r="K12" s="229"/>
      <c r="L12" s="229"/>
      <c r="M12" s="229"/>
    </row>
    <row r="13" spans="1:13" ht="15">
      <c r="A13" s="228"/>
      <c r="B13" s="228"/>
      <c r="C13" s="228"/>
      <c r="D13" s="228"/>
      <c r="E13" s="228"/>
      <c r="F13" s="228"/>
      <c r="G13" s="229"/>
      <c r="H13" s="229"/>
      <c r="I13" s="229"/>
      <c r="J13" s="229"/>
      <c r="K13" s="229"/>
      <c r="L13" s="229"/>
      <c r="M13" s="229"/>
    </row>
    <row r="14" spans="1:13">
      <c r="A14" s="303" t="s">
        <v>316</v>
      </c>
      <c r="B14" s="303" t="s">
        <v>317</v>
      </c>
      <c r="C14" s="309" t="s">
        <v>318</v>
      </c>
      <c r="D14" s="309" t="s">
        <v>319</v>
      </c>
      <c r="E14" s="303" t="s">
        <v>320</v>
      </c>
      <c r="F14" s="303" t="s">
        <v>321</v>
      </c>
      <c r="G14" s="303" t="s">
        <v>322</v>
      </c>
      <c r="H14" s="303" t="s">
        <v>323</v>
      </c>
      <c r="I14" s="303" t="s">
        <v>313</v>
      </c>
    </row>
    <row r="15" spans="1:13">
      <c r="A15" s="301"/>
      <c r="B15" s="301"/>
      <c r="C15" s="301"/>
      <c r="D15" s="301"/>
      <c r="E15" s="301"/>
      <c r="F15" s="301"/>
      <c r="G15" s="304"/>
      <c r="H15" s="304"/>
      <c r="I15" s="84"/>
    </row>
    <row r="16" spans="1:13">
      <c r="A16" s="305"/>
      <c r="B16" s="305"/>
      <c r="C16" s="306"/>
      <c r="D16" s="306"/>
      <c r="E16" s="307"/>
      <c r="F16" s="301"/>
      <c r="G16" s="264"/>
      <c r="H16" s="264"/>
      <c r="I16" s="302"/>
    </row>
    <row r="17" spans="1:10">
      <c r="A17" s="148"/>
      <c r="B17" s="305"/>
      <c r="C17" s="306"/>
      <c r="D17" s="306"/>
      <c r="E17" s="307"/>
      <c r="F17" s="307"/>
      <c r="G17" s="264"/>
      <c r="H17" s="264"/>
      <c r="I17" s="302"/>
    </row>
    <row r="18" spans="1:10">
      <c r="A18" s="148"/>
      <c r="B18" s="305"/>
      <c r="C18" s="306"/>
      <c r="D18" s="306"/>
      <c r="E18" s="307"/>
      <c r="F18" s="307"/>
      <c r="G18" s="264"/>
      <c r="H18" s="264"/>
      <c r="I18" s="302"/>
    </row>
    <row r="19" spans="1:10">
      <c r="A19" s="301"/>
      <c r="B19" s="301"/>
      <c r="C19" s="308"/>
      <c r="D19" s="308"/>
      <c r="E19" s="307"/>
      <c r="F19" s="307"/>
      <c r="G19" s="264"/>
      <c r="H19" s="264"/>
      <c r="I19" s="84"/>
    </row>
    <row r="20" spans="1:10">
      <c r="A20" s="301"/>
      <c r="B20" s="301"/>
      <c r="C20" s="308"/>
      <c r="D20" s="308"/>
      <c r="E20" s="307"/>
      <c r="F20" s="307"/>
      <c r="G20" s="264"/>
      <c r="H20" s="264"/>
      <c r="I20" s="84"/>
    </row>
    <row r="21" spans="1:10">
      <c r="A21" s="307"/>
      <c r="B21" s="301"/>
      <c r="C21" s="308"/>
      <c r="D21" s="308"/>
      <c r="E21" s="301"/>
      <c r="F21" s="307"/>
      <c r="G21" s="264"/>
      <c r="H21" s="264"/>
      <c r="I21" s="84"/>
    </row>
    <row r="22" spans="1:10">
      <c r="A22" s="301"/>
      <c r="B22" s="301"/>
      <c r="C22" s="308"/>
      <c r="D22" s="308"/>
      <c r="E22" s="307"/>
      <c r="F22" s="307"/>
      <c r="G22" s="264"/>
      <c r="H22" s="264"/>
      <c r="I22" s="84"/>
    </row>
    <row r="23" spans="1:10">
      <c r="A23" s="307"/>
      <c r="B23" s="301"/>
      <c r="C23" s="308"/>
      <c r="D23" s="308"/>
      <c r="E23" s="307"/>
      <c r="F23" s="307"/>
      <c r="G23" s="264"/>
      <c r="H23" s="264"/>
      <c r="I23" s="84"/>
    </row>
    <row r="24" spans="1:10">
      <c r="A24" s="301"/>
      <c r="B24" s="301"/>
      <c r="C24" s="308"/>
      <c r="D24" s="308"/>
      <c r="E24" s="307"/>
      <c r="F24" s="301"/>
      <c r="G24" s="264"/>
      <c r="H24" s="264"/>
      <c r="I24" s="84"/>
    </row>
    <row r="25" spans="1:10">
      <c r="A25" s="61"/>
      <c r="B25" s="61"/>
      <c r="C25" s="61"/>
      <c r="D25" s="61"/>
      <c r="E25" s="61"/>
      <c r="F25" s="61"/>
      <c r="G25" s="296"/>
      <c r="H25" s="296"/>
      <c r="I25" s="297"/>
      <c r="J25" s="223"/>
    </row>
    <row r="26" spans="1:10">
      <c r="A26" s="61"/>
      <c r="B26" s="61"/>
      <c r="C26" s="61"/>
      <c r="D26" s="61"/>
      <c r="E26" s="61"/>
      <c r="F26" s="61"/>
      <c r="G26" s="63" t="s">
        <v>324</v>
      </c>
      <c r="H26" s="294">
        <f>SUM(G25:H25)</f>
        <v>0</v>
      </c>
      <c r="I26" s="294"/>
      <c r="J26" s="223"/>
    </row>
    <row r="27" spans="1:10">
      <c r="A27" s="61"/>
      <c r="B27" s="61"/>
      <c r="C27" s="61"/>
      <c r="D27" s="61"/>
      <c r="E27" s="61"/>
      <c r="F27" s="61"/>
      <c r="G27" s="63" t="s">
        <v>312</v>
      </c>
      <c r="H27" s="294">
        <f>H26*365</f>
        <v>0</v>
      </c>
      <c r="I27" s="61"/>
    </row>
    <row r="28" spans="1:10">
      <c r="A28" s="295" t="s">
        <v>325</v>
      </c>
      <c r="B28" s="61"/>
      <c r="C28" s="61"/>
      <c r="D28" s="61"/>
      <c r="E28" s="61"/>
      <c r="F28" s="61"/>
      <c r="G28" s="61"/>
      <c r="H28" s="61"/>
      <c r="I28" s="61"/>
    </row>
    <row r="29" spans="1:10">
      <c r="A29" s="298" t="s">
        <v>326</v>
      </c>
      <c r="B29" s="61"/>
      <c r="C29" s="61"/>
      <c r="D29" s="61"/>
      <c r="E29" s="61"/>
      <c r="F29" s="61"/>
      <c r="G29" s="61"/>
      <c r="H29" s="61"/>
      <c r="I29" s="61"/>
    </row>
    <row r="30" spans="1:10">
      <c r="A30" s="298" t="s">
        <v>327</v>
      </c>
      <c r="B30" s="61"/>
      <c r="C30" s="61"/>
      <c r="D30" s="61"/>
      <c r="E30" s="61"/>
      <c r="F30" s="61"/>
      <c r="G30" s="61"/>
      <c r="H30" s="61"/>
      <c r="I30" s="61"/>
    </row>
    <row r="31" spans="1:10">
      <c r="A31" s="299" t="s">
        <v>328</v>
      </c>
      <c r="B31" s="61"/>
      <c r="C31" s="61"/>
      <c r="D31" s="61"/>
      <c r="E31" s="61"/>
      <c r="F31" s="61"/>
      <c r="G31" s="61"/>
      <c r="H31" s="61"/>
      <c r="I31" s="61"/>
    </row>
    <row r="32" spans="1:10">
      <c r="A32" s="298" t="s">
        <v>329</v>
      </c>
      <c r="B32" s="61"/>
      <c r="C32" s="61"/>
      <c r="D32" s="61"/>
      <c r="E32" s="61"/>
      <c r="F32" s="61"/>
      <c r="G32" s="61"/>
      <c r="H32" s="61"/>
      <c r="I32" s="61"/>
    </row>
    <row r="33" spans="1:9">
      <c r="A33" s="298" t="s">
        <v>330</v>
      </c>
      <c r="B33" s="61"/>
      <c r="C33" s="61"/>
      <c r="D33" s="61"/>
      <c r="E33" s="61"/>
      <c r="F33" s="61"/>
      <c r="G33" s="61"/>
      <c r="H33" s="61"/>
      <c r="I33" s="61"/>
    </row>
    <row r="34" spans="1:9">
      <c r="A34" s="298" t="s">
        <v>331</v>
      </c>
      <c r="B34" s="61"/>
      <c r="C34" s="61"/>
      <c r="D34" s="61"/>
      <c r="E34" s="61"/>
      <c r="F34" s="61"/>
      <c r="G34" s="61"/>
      <c r="H34" s="61"/>
      <c r="I34" s="61"/>
    </row>
    <row r="35" spans="1:9">
      <c r="A35" s="298" t="s">
        <v>332</v>
      </c>
      <c r="B35" s="61"/>
      <c r="C35" s="61"/>
      <c r="D35" s="61"/>
      <c r="E35" s="61"/>
      <c r="F35" s="61"/>
      <c r="G35" s="61"/>
      <c r="H35" s="61"/>
      <c r="I35" s="61"/>
    </row>
  </sheetData>
  <mergeCells count="6">
    <mergeCell ref="B9:I9"/>
    <mergeCell ref="A1:I1"/>
    <mergeCell ref="B5:I5"/>
    <mergeCell ref="B6:I6"/>
    <mergeCell ref="B7:I7"/>
    <mergeCell ref="B8:I8"/>
  </mergeCells>
  <pageMargins left="0.7" right="0.7" top="0.75" bottom="0.75" header="0.3" footer="0.3"/>
  <pageSetup scale="68" fitToHeight="0" orientation="landscape" r:id="rId1"/>
  <drawing r:id="rId2"/>
  <tableParts count="1">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96FEA-E474-4A57-806C-1876991ED684}">
  <sheetPr>
    <tabColor theme="9"/>
    <pageSetUpPr fitToPage="1"/>
  </sheetPr>
  <dimension ref="A1:J65"/>
  <sheetViews>
    <sheetView showGridLines="0" zoomScale="85" zoomScaleNormal="85" workbookViewId="0">
      <selection activeCell="A6" sqref="A6:I10"/>
    </sheetView>
  </sheetViews>
  <sheetFormatPr defaultColWidth="9.140625" defaultRowHeight="12.75"/>
  <cols>
    <col min="1" max="1" width="12.85546875" style="271" bestFit="1" customWidth="1"/>
    <col min="2" max="2" width="15.7109375" style="67" customWidth="1"/>
    <col min="3" max="3" width="19.42578125" style="67" customWidth="1"/>
    <col min="4" max="4" width="22.42578125" style="67" bestFit="1" customWidth="1"/>
    <col min="5" max="5" width="20.7109375" style="291" bestFit="1" customWidth="1"/>
    <col min="6" max="6" width="19.140625" style="67" bestFit="1" customWidth="1"/>
    <col min="7" max="7" width="38.5703125" style="67" customWidth="1"/>
    <col min="8" max="8" width="15.7109375" style="67" customWidth="1"/>
    <col min="9" max="9" width="13.7109375" style="67" customWidth="1"/>
    <col min="10" max="16384" width="9.140625" style="67"/>
  </cols>
  <sheetData>
    <row r="1" spans="1:10" ht="15" customHeight="1">
      <c r="A1" s="523" t="s">
        <v>333</v>
      </c>
      <c r="B1" s="524"/>
      <c r="C1" s="524"/>
      <c r="D1" s="524"/>
      <c r="E1" s="524"/>
      <c r="F1" s="524"/>
      <c r="G1" s="524"/>
      <c r="H1" s="524"/>
      <c r="I1" s="524"/>
    </row>
    <row r="2" spans="1:10" ht="15" customHeight="1">
      <c r="A2" s="62" t="s">
        <v>1</v>
      </c>
      <c r="B2" s="63" t="s">
        <v>59</v>
      </c>
    </row>
    <row r="3" spans="1:10" ht="15" customHeight="1">
      <c r="A3" s="139" t="s">
        <v>4</v>
      </c>
      <c r="B3" s="72">
        <f ca="1">TODAY()</f>
        <v>45159</v>
      </c>
    </row>
    <row r="4" spans="1:10" ht="15" customHeight="1">
      <c r="B4" s="65"/>
    </row>
    <row r="5" spans="1:10" ht="13.5" thickBot="1"/>
    <row r="6" spans="1:10" ht="240" customHeight="1" thickBot="1">
      <c r="A6" s="467"/>
      <c r="B6" s="468"/>
      <c r="C6" s="468"/>
      <c r="D6" s="468"/>
      <c r="E6" s="468"/>
      <c r="F6" s="468"/>
      <c r="G6" s="468"/>
      <c r="H6" s="468"/>
      <c r="I6" s="469"/>
    </row>
    <row r="7" spans="1:10">
      <c r="A7" s="127"/>
      <c r="B7" s="81"/>
      <c r="C7" s="81"/>
      <c r="D7" s="81"/>
      <c r="E7" s="80"/>
      <c r="F7" s="81"/>
      <c r="G7" s="81"/>
      <c r="H7" s="81"/>
      <c r="I7" s="81"/>
    </row>
    <row r="8" spans="1:10">
      <c r="A8" s="127"/>
      <c r="C8" s="71" t="s">
        <v>334</v>
      </c>
      <c r="D8" s="81"/>
      <c r="E8" s="81"/>
      <c r="G8" s="80"/>
      <c r="H8" s="81"/>
      <c r="I8" s="81"/>
    </row>
    <row r="9" spans="1:10">
      <c r="A9" s="127"/>
      <c r="C9" s="81"/>
      <c r="D9" s="81"/>
      <c r="E9" s="81"/>
      <c r="G9" s="80"/>
      <c r="H9" s="81"/>
      <c r="I9" s="81"/>
    </row>
    <row r="10" spans="1:10">
      <c r="A10" s="127"/>
      <c r="C10" s="122" t="s">
        <v>335</v>
      </c>
      <c r="D10" s="122" t="s">
        <v>336</v>
      </c>
      <c r="E10" s="288" t="s">
        <v>312</v>
      </c>
      <c r="F10" s="288" t="s">
        <v>96</v>
      </c>
      <c r="G10" s="122" t="s">
        <v>313</v>
      </c>
      <c r="H10" s="81"/>
      <c r="I10" s="81"/>
    </row>
    <row r="11" spans="1:10" ht="25.5">
      <c r="A11" s="127"/>
      <c r="B11" s="81"/>
      <c r="C11" s="81" t="s">
        <v>337</v>
      </c>
      <c r="D11" s="289"/>
      <c r="E11" s="126"/>
      <c r="F11" s="126"/>
      <c r="H11" s="81"/>
      <c r="I11" s="81"/>
      <c r="J11" s="81"/>
    </row>
    <row r="12" spans="1:10" ht="38.25">
      <c r="A12" s="127"/>
      <c r="B12" s="81"/>
      <c r="C12" s="81" t="s">
        <v>338</v>
      </c>
      <c r="D12" s="289"/>
      <c r="E12" s="126"/>
      <c r="F12" s="126"/>
      <c r="H12" s="81"/>
      <c r="I12" s="81"/>
      <c r="J12" s="81"/>
    </row>
    <row r="13" spans="1:10" ht="38.25">
      <c r="A13" s="127"/>
      <c r="B13" s="81"/>
      <c r="C13" s="81" t="s">
        <v>339</v>
      </c>
      <c r="D13" s="289"/>
      <c r="E13" s="126"/>
      <c r="F13" s="126"/>
      <c r="H13" s="81"/>
      <c r="I13" s="81"/>
      <c r="J13" s="81"/>
    </row>
    <row r="14" spans="1:10">
      <c r="A14" s="127"/>
      <c r="B14" s="81"/>
      <c r="C14" s="81" t="s">
        <v>28</v>
      </c>
      <c r="D14" s="290">
        <f>SUBTOTAL(109,Table4.1_ForegoneSummary6365[Annual Users Affected])</f>
        <v>0</v>
      </c>
      <c r="E14" s="126">
        <f>SUBTOTAL(109,Table4.1_ForegoneSummary6365[Annual Benefit])</f>
        <v>0</v>
      </c>
      <c r="F14" s="126">
        <f>SUBTOTAL(109,Table4.1_ForegoneSummary6365[30-Year Total])</f>
        <v>0</v>
      </c>
      <c r="G14" s="168"/>
      <c r="H14" s="81"/>
      <c r="I14" s="81"/>
    </row>
    <row r="15" spans="1:10">
      <c r="A15" s="127"/>
      <c r="B15" s="81"/>
      <c r="C15" s="81"/>
      <c r="D15" s="81"/>
      <c r="E15" s="80"/>
      <c r="F15" s="81"/>
      <c r="G15" s="81"/>
      <c r="H15" s="81"/>
      <c r="I15" s="81"/>
    </row>
    <row r="16" spans="1:10">
      <c r="A16" s="127"/>
      <c r="B16" s="81"/>
      <c r="C16" s="81"/>
      <c r="D16" s="81"/>
      <c r="E16" s="80"/>
      <c r="F16" s="81"/>
      <c r="G16" s="81"/>
      <c r="H16" s="81"/>
      <c r="I16" s="81"/>
    </row>
    <row r="17" spans="1:9">
      <c r="A17" s="127"/>
      <c r="B17" s="81"/>
      <c r="C17" s="81"/>
      <c r="D17" s="81"/>
      <c r="E17" s="80"/>
      <c r="F17" s="81"/>
      <c r="G17" s="81"/>
      <c r="H17" s="81"/>
      <c r="I17" s="81"/>
    </row>
    <row r="18" spans="1:9">
      <c r="A18" s="127"/>
      <c r="B18" s="81"/>
      <c r="C18" s="81"/>
      <c r="D18" s="81"/>
      <c r="E18" s="80"/>
      <c r="F18" s="81"/>
      <c r="G18" s="81"/>
      <c r="H18" s="81"/>
      <c r="I18" s="81"/>
    </row>
    <row r="19" spans="1:9">
      <c r="A19" s="127"/>
      <c r="B19" s="81"/>
      <c r="C19" s="81"/>
      <c r="D19" s="81"/>
      <c r="E19" s="80"/>
      <c r="F19" s="81"/>
      <c r="G19" s="81"/>
      <c r="H19" s="81"/>
      <c r="I19" s="81"/>
    </row>
    <row r="20" spans="1:9">
      <c r="A20" s="127"/>
      <c r="B20" s="81"/>
      <c r="C20" s="81"/>
      <c r="D20" s="81"/>
      <c r="E20" s="80"/>
      <c r="F20" s="81"/>
      <c r="G20" s="81"/>
      <c r="H20" s="81"/>
      <c r="I20" s="81"/>
    </row>
    <row r="21" spans="1:9">
      <c r="A21" s="127"/>
      <c r="B21" s="81"/>
      <c r="C21" s="81"/>
      <c r="D21" s="81"/>
      <c r="E21" s="80"/>
      <c r="F21" s="81"/>
      <c r="G21" s="81"/>
      <c r="H21" s="81"/>
      <c r="I21" s="81"/>
    </row>
    <row r="22" spans="1:9">
      <c r="A22" s="127"/>
      <c r="B22" s="81"/>
      <c r="C22" s="81"/>
      <c r="D22" s="81"/>
      <c r="E22" s="80"/>
      <c r="F22" s="81"/>
      <c r="G22" s="81"/>
      <c r="H22" s="81"/>
      <c r="I22" s="81"/>
    </row>
    <row r="23" spans="1:9">
      <c r="A23" s="127"/>
      <c r="B23" s="81"/>
      <c r="C23" s="81"/>
      <c r="D23" s="81"/>
      <c r="E23" s="80"/>
      <c r="F23" s="81"/>
      <c r="G23" s="81"/>
      <c r="H23" s="81"/>
      <c r="I23" s="81"/>
    </row>
    <row r="24" spans="1:9">
      <c r="A24" s="127"/>
      <c r="B24" s="81"/>
      <c r="C24" s="81"/>
      <c r="D24" s="81"/>
      <c r="E24" s="80"/>
      <c r="F24" s="81"/>
      <c r="G24" s="81"/>
      <c r="H24" s="81"/>
      <c r="I24" s="81"/>
    </row>
    <row r="25" spans="1:9" s="81" customFormat="1"/>
    <row r="26" spans="1:9">
      <c r="C26" s="81"/>
      <c r="G26" s="81"/>
    </row>
    <row r="33" spans="2:7" s="271" customFormat="1" ht="15" customHeight="1">
      <c r="B33" s="67"/>
      <c r="C33" s="67"/>
      <c r="D33" s="67"/>
      <c r="E33" s="291"/>
      <c r="F33" s="67"/>
      <c r="G33" s="67"/>
    </row>
    <row r="34" spans="2:7">
      <c r="F34" s="271"/>
      <c r="G34" s="271"/>
    </row>
    <row r="40" spans="2:7" s="271" customFormat="1" ht="28.5" customHeight="1">
      <c r="B40" s="67"/>
      <c r="C40" s="67"/>
      <c r="D40" s="67"/>
      <c r="E40" s="291"/>
      <c r="F40" s="67"/>
      <c r="G40" s="67"/>
    </row>
    <row r="41" spans="2:7">
      <c r="F41" s="271"/>
      <c r="G41" s="271"/>
    </row>
    <row r="43" spans="2:7" s="271" customFormat="1" ht="15" customHeight="1">
      <c r="B43" s="67"/>
      <c r="C43" s="67"/>
      <c r="D43" s="67"/>
      <c r="E43" s="291"/>
      <c r="F43" s="67"/>
      <c r="G43" s="67"/>
    </row>
    <row r="44" spans="2:7">
      <c r="F44" s="271"/>
      <c r="G44" s="271"/>
    </row>
    <row r="45" spans="2:7" s="271" customFormat="1" ht="15" customHeight="1">
      <c r="B45" s="67"/>
      <c r="C45" s="67"/>
      <c r="D45" s="67"/>
      <c r="E45" s="291"/>
      <c r="F45" s="67"/>
      <c r="G45" s="67"/>
    </row>
    <row r="46" spans="2:7">
      <c r="F46" s="271"/>
      <c r="G46" s="271"/>
    </row>
    <row r="54" spans="1:5" ht="15" customHeight="1"/>
    <row r="64" spans="1:5">
      <c r="A64" s="67"/>
      <c r="E64" s="67"/>
    </row>
    <row r="65" spans="1:6">
      <c r="A65" s="67"/>
      <c r="E65" s="292"/>
      <c r="F65" s="140"/>
    </row>
  </sheetData>
  <mergeCells count="2">
    <mergeCell ref="A6:I6"/>
    <mergeCell ref="A1:I1"/>
  </mergeCells>
  <pageMargins left="0.7" right="0.7" top="0.75" bottom="0.75" header="0.3" footer="0.3"/>
  <pageSetup paperSize="3" scale="66" fitToHeight="0" orientation="landscape" r:id="rId1"/>
  <drawing r:id="rId2"/>
  <tableParts count="1">
    <tablePart r:id="rId3"/>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5FF96-18F5-4EB9-87D3-B1734AC84CD3}">
  <sheetPr>
    <tabColor theme="0" tint="-0.249977111117893"/>
    <pageSetUpPr fitToPage="1"/>
  </sheetPr>
  <dimension ref="A1:I29"/>
  <sheetViews>
    <sheetView showGridLines="0" zoomScaleNormal="100" workbookViewId="0">
      <selection activeCell="A6" sqref="A6:I10"/>
    </sheetView>
  </sheetViews>
  <sheetFormatPr defaultColWidth="9.140625" defaultRowHeight="12.75"/>
  <cols>
    <col min="1" max="1" width="21.7109375" style="310" customWidth="1"/>
    <col min="2" max="8" width="20.7109375" style="310" customWidth="1"/>
    <col min="9" max="9" width="15.7109375" style="310" customWidth="1"/>
    <col min="10" max="16384" width="9.140625" style="310"/>
  </cols>
  <sheetData>
    <row r="1" spans="1:9" ht="15" customHeight="1">
      <c r="A1" s="499" t="s">
        <v>340</v>
      </c>
      <c r="B1" s="500"/>
      <c r="C1" s="500"/>
      <c r="D1" s="500"/>
      <c r="E1" s="500"/>
      <c r="F1" s="500"/>
      <c r="G1" s="500"/>
      <c r="H1" s="500"/>
      <c r="I1" s="500"/>
    </row>
    <row r="2" spans="1:9" ht="15" customHeight="1">
      <c r="A2" s="99" t="s">
        <v>1</v>
      </c>
      <c r="B2" s="71" t="s">
        <v>59</v>
      </c>
      <c r="C2" s="81"/>
      <c r="D2" s="81"/>
      <c r="E2" s="81"/>
      <c r="F2" s="81"/>
      <c r="G2" s="81"/>
      <c r="H2" s="81"/>
      <c r="I2" s="81"/>
    </row>
    <row r="3" spans="1:9" ht="15" customHeight="1">
      <c r="A3" s="99" t="s">
        <v>4</v>
      </c>
      <c r="B3" s="100">
        <f ca="1">TODAY()</f>
        <v>45159</v>
      </c>
      <c r="C3" s="81"/>
      <c r="D3" s="81"/>
      <c r="E3" s="81"/>
      <c r="F3" s="81"/>
      <c r="G3" s="81"/>
      <c r="H3" s="81"/>
      <c r="I3" s="81"/>
    </row>
    <row r="4" spans="1:9" ht="30" customHeight="1" thickBot="1">
      <c r="A4" s="81"/>
      <c r="B4" s="81"/>
      <c r="C4" s="81"/>
      <c r="D4" s="81" t="s">
        <v>341</v>
      </c>
      <c r="E4" s="81"/>
      <c r="F4" s="81"/>
      <c r="G4" s="81"/>
      <c r="H4" s="81"/>
      <c r="I4" s="81"/>
    </row>
    <row r="5" spans="1:9" ht="30" customHeight="1" thickBot="1">
      <c r="A5" s="102" t="s">
        <v>99</v>
      </c>
      <c r="B5" s="489"/>
      <c r="C5" s="490"/>
      <c r="D5" s="490"/>
      <c r="E5" s="490"/>
      <c r="F5" s="490"/>
      <c r="G5" s="490"/>
      <c r="H5" s="490"/>
      <c r="I5" s="491"/>
    </row>
    <row r="6" spans="1:9" ht="48.75" customHeight="1" thickBot="1">
      <c r="A6" s="102" t="s">
        <v>101</v>
      </c>
      <c r="B6" s="489"/>
      <c r="C6" s="490"/>
      <c r="D6" s="490"/>
      <c r="E6" s="490"/>
      <c r="F6" s="490"/>
      <c r="G6" s="490"/>
      <c r="H6" s="490"/>
      <c r="I6" s="491"/>
    </row>
    <row r="7" spans="1:9" ht="30" customHeight="1" thickBot="1">
      <c r="A7" s="102" t="s">
        <v>103</v>
      </c>
      <c r="B7" s="489"/>
      <c r="C7" s="490"/>
      <c r="D7" s="490"/>
      <c r="E7" s="490"/>
      <c r="F7" s="490"/>
      <c r="G7" s="490"/>
      <c r="H7" s="490"/>
      <c r="I7" s="491"/>
    </row>
    <row r="8" spans="1:9" ht="30" customHeight="1" thickBot="1">
      <c r="A8" s="102" t="s">
        <v>105</v>
      </c>
      <c r="B8" s="489"/>
      <c r="C8" s="490"/>
      <c r="D8" s="490"/>
      <c r="E8" s="490"/>
      <c r="F8" s="490"/>
      <c r="G8" s="490"/>
      <c r="H8" s="490"/>
      <c r="I8" s="491"/>
    </row>
    <row r="9" spans="1:9" ht="30" customHeight="1" thickBot="1">
      <c r="A9" s="102" t="s">
        <v>107</v>
      </c>
      <c r="B9" s="489"/>
      <c r="C9" s="490"/>
      <c r="D9" s="490"/>
      <c r="E9" s="490"/>
      <c r="F9" s="490"/>
      <c r="G9" s="490"/>
      <c r="H9" s="490"/>
      <c r="I9" s="491"/>
    </row>
    <row r="11" spans="1:9">
      <c r="B11" s="314" t="s">
        <v>342</v>
      </c>
    </row>
    <row r="13" spans="1:9" s="170" customFormat="1" ht="38.25">
      <c r="B13" s="313" t="s">
        <v>343</v>
      </c>
      <c r="C13" s="170" t="s">
        <v>344</v>
      </c>
      <c r="D13" s="170" t="s">
        <v>345</v>
      </c>
      <c r="E13" s="170" t="s">
        <v>346</v>
      </c>
      <c r="F13" s="170" t="s">
        <v>347</v>
      </c>
    </row>
    <row r="14" spans="1:9" ht="25.5">
      <c r="B14" s="310" t="str">
        <f>'Appendix A. Parameter Values'!B83</f>
        <v>Expanded Sidewalk (per ft added width)</v>
      </c>
      <c r="F14" s="311">
        <f>Table65[[#This Row],[Additional Sidewalk Width (ft)]]*Table65[[#This Row],[Sidewalk Length Widened (mi)]]*Table65[[#This Row],['# Daily Users]]*'Appendix A. Parameter Values'!C83</f>
        <v>0</v>
      </c>
    </row>
    <row r="15" spans="1:9">
      <c r="B15" s="310" t="s">
        <v>348</v>
      </c>
      <c r="E15" s="315">
        <f>SUBTOTAL(109,Table65['# Daily Users])*365</f>
        <v>0</v>
      </c>
      <c r="F15" s="311">
        <f>SUBTOTAL(109,Table65[Benefit per Mile Walked per Day])*365</f>
        <v>0</v>
      </c>
    </row>
    <row r="17" spans="2:8">
      <c r="B17" s="314" t="s">
        <v>349</v>
      </c>
    </row>
    <row r="18" spans="2:8" s="170" customFormat="1">
      <c r="B18" s="310"/>
      <c r="C18" s="310"/>
      <c r="D18" s="310"/>
      <c r="E18" s="310"/>
      <c r="F18" s="310"/>
      <c r="G18" s="310"/>
      <c r="H18" s="310"/>
    </row>
    <row r="19" spans="2:8" ht="51">
      <c r="B19" s="313" t="s">
        <v>350</v>
      </c>
      <c r="C19" s="170" t="s">
        <v>351</v>
      </c>
      <c r="D19" s="170" t="s">
        <v>352</v>
      </c>
      <c r="E19" s="170" t="s">
        <v>353</v>
      </c>
      <c r="F19" s="170"/>
      <c r="G19" s="170"/>
      <c r="H19" s="170"/>
    </row>
    <row r="20" spans="2:8" ht="38.25">
      <c r="B20" s="310" t="str">
        <f>'Appendix A. Parameter Values'!B87</f>
        <v>Marked-Crosswalks on Roadway, Volume &gt;10k/day</v>
      </c>
      <c r="C20" s="311">
        <f>'Appendix A. Parameter Values'!C87</f>
        <v>0.18</v>
      </c>
      <c r="D20" s="310" t="s">
        <v>97</v>
      </c>
    </row>
    <row r="21" spans="2:8" ht="38.25">
      <c r="B21" s="310" t="str">
        <f>'Appendix A. Parameter Values'!B88</f>
        <v>Signal and Pedestrian Crossing on Roadway, Volume &gt;13k/day</v>
      </c>
      <c r="C21" s="311">
        <f>'Appendix A. Parameter Values'!C88</f>
        <v>0.48</v>
      </c>
      <c r="D21" s="310">
        <f>'9. Ped &amp; Cyclist Count Backup'!D15+'9. Ped &amp; Cyclist Count Backup'!D16</f>
        <v>0</v>
      </c>
      <c r="E21" s="311">
        <f>C21*D21</f>
        <v>0</v>
      </c>
    </row>
    <row r="22" spans="2:8">
      <c r="B22" s="310" t="s">
        <v>348</v>
      </c>
      <c r="D22" s="315">
        <f>SUBTOTAL(109,Table66['# Existing Daily Users])*365</f>
        <v>0</v>
      </c>
      <c r="E22" s="311">
        <f>SUBTOTAL(109,Table66[Benefit per Signalized Pedestrian Crossing Use per Day])*365</f>
        <v>0</v>
      </c>
    </row>
    <row r="24" spans="2:8">
      <c r="B24" s="314" t="s">
        <v>354</v>
      </c>
    </row>
    <row r="26" spans="2:8" ht="51">
      <c r="B26" s="313" t="s">
        <v>355</v>
      </c>
      <c r="C26" s="170" t="s">
        <v>351</v>
      </c>
      <c r="D26" s="170" t="s">
        <v>356</v>
      </c>
      <c r="E26" s="170" t="s">
        <v>353</v>
      </c>
    </row>
    <row r="27" spans="2:8" ht="38.25">
      <c r="B27" s="310" t="str">
        <f>'Appendix A. Parameter Values'!B87</f>
        <v>Marked-Crosswalks on Roadway, Volume &gt;10k/day</v>
      </c>
      <c r="C27" s="311">
        <f>'Appendix A. Parameter Values'!C87</f>
        <v>0.18</v>
      </c>
    </row>
    <row r="28" spans="2:8" ht="38.25">
      <c r="B28" s="310" t="str">
        <f>'Appendix A. Parameter Values'!B88</f>
        <v>Signal and Pedestrian Crossing on Roadway, Volume &gt;13k/day</v>
      </c>
      <c r="C28" s="311">
        <f>'Appendix A. Parameter Values'!C88</f>
        <v>0.48</v>
      </c>
      <c r="D28" s="317" t="e">
        <f>ROUNDUP('9. Ped &amp; Cyclist Count Backup'!D39,0)</f>
        <v>#DIV/0!</v>
      </c>
      <c r="E28" s="311" t="e">
        <f>C28*D28</f>
        <v>#DIV/0!</v>
      </c>
    </row>
    <row r="29" spans="2:8">
      <c r="B29" s="310" t="s">
        <v>348</v>
      </c>
      <c r="D29" s="316" t="e">
        <f>SUBTOTAL(109,Table67['# Additional  Daily Users])*365</f>
        <v>#DIV/0!</v>
      </c>
      <c r="E29" s="311" t="e">
        <f>SUBTOTAL(109,Table67[Benefit per Signalized Pedestrian Crossing Use per Day])*365</f>
        <v>#DIV/0!</v>
      </c>
    </row>
  </sheetData>
  <mergeCells count="6">
    <mergeCell ref="B9:I9"/>
    <mergeCell ref="A1:I1"/>
    <mergeCell ref="B5:I5"/>
    <mergeCell ref="B6:I6"/>
    <mergeCell ref="B7:I7"/>
    <mergeCell ref="B8:I8"/>
  </mergeCells>
  <pageMargins left="0.7" right="0.7" top="0.75" bottom="0.75" header="0.3" footer="0.3"/>
  <pageSetup scale="67" fitToHeight="0" orientation="landscape" horizontalDpi="1200" verticalDpi="1200" r:id="rId1"/>
  <drawing r:id="rId2"/>
  <tableParts count="3">
    <tablePart r:id="rId3"/>
    <tablePart r:id="rId4"/>
    <tablePart r:id="rId5"/>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74B5B-8D86-4252-A3E8-975ED4821B26}">
  <sheetPr>
    <tabColor theme="9"/>
    <pageSetUpPr fitToPage="1"/>
  </sheetPr>
  <dimension ref="A1:I71"/>
  <sheetViews>
    <sheetView showGridLines="0" workbookViewId="0">
      <selection activeCell="A6" sqref="A6:I10"/>
    </sheetView>
  </sheetViews>
  <sheetFormatPr defaultRowHeight="12.75"/>
  <cols>
    <col min="1" max="1" width="21.7109375" customWidth="1"/>
    <col min="2" max="9" width="15.7109375" style="168" customWidth="1"/>
  </cols>
  <sheetData>
    <row r="1" spans="1:9" ht="15" customHeight="1">
      <c r="A1" s="523" t="s">
        <v>357</v>
      </c>
      <c r="B1" s="524"/>
      <c r="C1" s="524"/>
      <c r="D1" s="524"/>
      <c r="E1" s="524"/>
      <c r="F1" s="524"/>
      <c r="G1" s="524"/>
      <c r="H1" s="524"/>
      <c r="I1" s="524"/>
    </row>
    <row r="2" spans="1:9" ht="15" customHeight="1">
      <c r="A2" s="87" t="s">
        <v>1</v>
      </c>
      <c r="B2" s="71" t="s">
        <v>59</v>
      </c>
      <c r="C2" s="81"/>
      <c r="D2" s="81"/>
      <c r="E2" s="81"/>
      <c r="F2" s="81"/>
      <c r="G2" s="81"/>
      <c r="H2" s="81"/>
      <c r="I2" s="81"/>
    </row>
    <row r="3" spans="1:9" ht="15" customHeight="1">
      <c r="A3" s="87" t="s">
        <v>4</v>
      </c>
      <c r="B3" s="100">
        <f ca="1">TODAY()</f>
        <v>45159</v>
      </c>
      <c r="C3" s="81"/>
      <c r="D3" s="81"/>
      <c r="E3" s="81"/>
      <c r="F3" s="81"/>
      <c r="G3" s="81"/>
      <c r="H3" s="81"/>
      <c r="I3" s="81"/>
    </row>
    <row r="4" spans="1:9" ht="30" customHeight="1">
      <c r="A4" s="87"/>
      <c r="B4" s="100"/>
      <c r="C4" s="81"/>
      <c r="D4" s="81"/>
      <c r="E4" s="81"/>
      <c r="F4" s="81"/>
      <c r="G4" s="81"/>
      <c r="H4" s="81"/>
      <c r="I4" s="81"/>
    </row>
    <row r="5" spans="1:9" ht="13.5" thickBot="1">
      <c r="A5" s="82"/>
      <c r="B5" s="81"/>
      <c r="C5" s="81"/>
      <c r="D5" s="81"/>
      <c r="E5" s="81"/>
      <c r="F5" s="81"/>
      <c r="G5" s="81"/>
      <c r="H5" s="81"/>
      <c r="I5" s="81"/>
    </row>
    <row r="6" spans="1:9" ht="30" customHeight="1" thickBot="1">
      <c r="A6" s="102" t="s">
        <v>99</v>
      </c>
      <c r="B6" s="489"/>
      <c r="C6" s="490"/>
      <c r="D6" s="490"/>
      <c r="E6" s="490"/>
      <c r="F6" s="490"/>
      <c r="G6" s="490"/>
      <c r="H6" s="490"/>
      <c r="I6" s="491"/>
    </row>
    <row r="7" spans="1:9" ht="72.75" customHeight="1" thickBot="1">
      <c r="A7" s="102" t="s">
        <v>101</v>
      </c>
      <c r="B7" s="489"/>
      <c r="C7" s="490"/>
      <c r="D7" s="490"/>
      <c r="E7" s="490"/>
      <c r="F7" s="490"/>
      <c r="G7" s="490"/>
      <c r="H7" s="490"/>
      <c r="I7" s="491"/>
    </row>
    <row r="8" spans="1:9" ht="30" customHeight="1" thickBot="1">
      <c r="A8" s="102" t="s">
        <v>103</v>
      </c>
      <c r="B8" s="489"/>
      <c r="C8" s="490"/>
      <c r="D8" s="490"/>
      <c r="E8" s="490"/>
      <c r="F8" s="490"/>
      <c r="G8" s="490"/>
      <c r="H8" s="490"/>
      <c r="I8" s="491"/>
    </row>
    <row r="9" spans="1:9" ht="30" customHeight="1" thickBot="1">
      <c r="A9" s="102" t="s">
        <v>105</v>
      </c>
      <c r="B9" s="489"/>
      <c r="C9" s="490"/>
      <c r="D9" s="490"/>
      <c r="E9" s="490"/>
      <c r="F9" s="490"/>
      <c r="G9" s="490"/>
      <c r="H9" s="490"/>
      <c r="I9" s="491"/>
    </row>
    <row r="10" spans="1:9" ht="30" customHeight="1" thickBot="1">
      <c r="A10" s="102" t="s">
        <v>107</v>
      </c>
      <c r="B10" s="489"/>
      <c r="C10" s="490"/>
      <c r="D10" s="490"/>
      <c r="E10" s="490"/>
      <c r="F10" s="490"/>
      <c r="G10" s="490"/>
      <c r="H10" s="490"/>
      <c r="I10" s="491"/>
    </row>
    <row r="13" spans="1:9">
      <c r="B13" s="223" t="s">
        <v>358</v>
      </c>
    </row>
    <row r="15" spans="1:9" s="227" customFormat="1" ht="43.5" customHeight="1">
      <c r="B15" s="313" t="s">
        <v>359</v>
      </c>
      <c r="C15" s="170" t="s">
        <v>360</v>
      </c>
      <c r="D15" s="170" t="s">
        <v>361</v>
      </c>
      <c r="E15" s="170" t="s">
        <v>362</v>
      </c>
      <c r="F15" s="170" t="s">
        <v>363</v>
      </c>
      <c r="G15" s="170" t="s">
        <v>364</v>
      </c>
      <c r="H15" s="170" t="s">
        <v>365</v>
      </c>
      <c r="I15" s="352"/>
    </row>
    <row r="16" spans="1:9" ht="38.25">
      <c r="B16" s="310" t="s">
        <v>366</v>
      </c>
      <c r="C16" s="310"/>
      <c r="D16" s="310"/>
      <c r="E16" s="310"/>
      <c r="F16" s="311"/>
      <c r="G16" s="311"/>
      <c r="H16" s="311"/>
    </row>
    <row r="17" spans="2:9" ht="38.25">
      <c r="B17" s="310" t="s">
        <v>367</v>
      </c>
      <c r="C17" s="310"/>
      <c r="D17" s="310"/>
      <c r="E17" s="310"/>
      <c r="F17" s="311"/>
      <c r="G17" s="311"/>
      <c r="H17" s="311"/>
    </row>
    <row r="18" spans="2:9" ht="38.25">
      <c r="B18" s="310" t="s">
        <v>368</v>
      </c>
      <c r="C18" s="310"/>
      <c r="D18" s="310"/>
      <c r="E18" s="310"/>
      <c r="F18" s="311"/>
      <c r="G18" s="311"/>
      <c r="H18" s="311"/>
    </row>
    <row r="19" spans="2:9">
      <c r="B19" s="310" t="s">
        <v>28</v>
      </c>
      <c r="C19" s="310"/>
      <c r="D19" s="310">
        <f>SUBTOTAL(109,Table68[Segment Length (mi)])</f>
        <v>0</v>
      </c>
      <c r="E19" s="310">
        <f>SUBTOTAL(109,Table68['# of Existing Cyclists])</f>
        <v>0</v>
      </c>
      <c r="F19" s="319" t="e">
        <f>SUMPRODUCT(Table68['# of Existing Cyclists],Table68[Value per Cycling Mile])/Table68[[#Totals],['# of Existing Cyclists]]</f>
        <v>#DIV/0!</v>
      </c>
      <c r="G19" s="311">
        <f>SUBTOTAL(109,Table68[Benefits to Existing Users Daily])</f>
        <v>0</v>
      </c>
      <c r="H19" s="311">
        <f>SUBTOTAL(109,Table68[[Annual Benefits ]])</f>
        <v>0</v>
      </c>
    </row>
    <row r="20" spans="2:9">
      <c r="B20" s="310"/>
      <c r="C20" s="310"/>
      <c r="D20" s="310"/>
      <c r="E20" s="310"/>
      <c r="F20" s="310"/>
      <c r="G20" s="311"/>
    </row>
    <row r="21" spans="2:9">
      <c r="B21" s="314" t="s">
        <v>369</v>
      </c>
      <c r="C21" s="310"/>
      <c r="D21" s="310"/>
      <c r="E21" s="310"/>
      <c r="F21" s="310"/>
      <c r="G21" s="310"/>
    </row>
    <row r="22" spans="2:9">
      <c r="B22" s="310"/>
      <c r="C22" s="310"/>
      <c r="D22" s="310"/>
      <c r="E22" s="310"/>
      <c r="F22" s="310"/>
      <c r="G22" s="310"/>
    </row>
    <row r="23" spans="2:9" s="227" customFormat="1" ht="38.25">
      <c r="B23" s="313" t="s">
        <v>359</v>
      </c>
      <c r="C23" s="170" t="s">
        <v>360</v>
      </c>
      <c r="D23" s="170" t="s">
        <v>361</v>
      </c>
      <c r="E23" s="170" t="s">
        <v>370</v>
      </c>
      <c r="F23" s="170" t="s">
        <v>363</v>
      </c>
      <c r="G23" s="170" t="s">
        <v>364</v>
      </c>
      <c r="H23" s="170" t="s">
        <v>371</v>
      </c>
      <c r="I23" s="352"/>
    </row>
    <row r="24" spans="2:9" ht="38.25">
      <c r="B24" s="310" t="s">
        <v>366</v>
      </c>
      <c r="C24" s="310"/>
      <c r="D24" s="310"/>
      <c r="E24" s="312"/>
      <c r="F24" s="311"/>
      <c r="G24" s="311"/>
      <c r="H24" s="311"/>
    </row>
    <row r="25" spans="2:9" ht="38.25">
      <c r="B25" s="310" t="s">
        <v>367</v>
      </c>
      <c r="C25" s="310"/>
      <c r="D25" s="310"/>
      <c r="E25" s="312"/>
      <c r="F25" s="311"/>
      <c r="G25" s="311"/>
      <c r="H25" s="311"/>
    </row>
    <row r="26" spans="2:9" ht="38.25">
      <c r="B26" s="310" t="s">
        <v>368</v>
      </c>
      <c r="C26" s="310"/>
      <c r="D26" s="310"/>
      <c r="E26" s="310"/>
      <c r="F26" s="311"/>
      <c r="G26" s="311"/>
      <c r="H26" s="311"/>
    </row>
    <row r="27" spans="2:9">
      <c r="B27" s="310" t="s">
        <v>28</v>
      </c>
      <c r="C27" s="310"/>
      <c r="D27" s="310">
        <f>SUBTOTAL(109,Table69[Segment Length (mi)])</f>
        <v>0</v>
      </c>
      <c r="E27" s="312">
        <f>SUBTOTAL(109,Table69['# of Induced  Cyclists])</f>
        <v>0</v>
      </c>
      <c r="F27" s="319" t="e">
        <f>SUMPRODUCT(Table69['# of Induced  Cyclists],Table69[Value per Cycling Mile])/Table69[[#Totals],['# of Induced  Cyclists]]</f>
        <v>#DIV/0!</v>
      </c>
      <c r="G27" s="311">
        <f>SUBTOTAL(109,Table69[Benefits to Existing Users Daily])</f>
        <v>0</v>
      </c>
      <c r="H27" s="311">
        <f>SUBTOTAL(109,Table69[Annual Benefits])</f>
        <v>0</v>
      </c>
    </row>
    <row r="29" spans="2:9">
      <c r="B29" s="314" t="s">
        <v>372</v>
      </c>
    </row>
    <row r="31" spans="2:9" ht="38.25">
      <c r="B31" s="168" t="s">
        <v>373</v>
      </c>
      <c r="C31" s="168" t="s">
        <v>360</v>
      </c>
      <c r="D31" s="168" t="s">
        <v>361</v>
      </c>
      <c r="E31" s="168" t="s">
        <v>370</v>
      </c>
      <c r="F31" s="168" t="s">
        <v>363</v>
      </c>
      <c r="G31" s="168" t="s">
        <v>364</v>
      </c>
      <c r="H31" s="168" t="s">
        <v>371</v>
      </c>
      <c r="I31" s="168" t="s">
        <v>96</v>
      </c>
    </row>
    <row r="32" spans="2:9" ht="25.5">
      <c r="B32" s="168" t="s">
        <v>374</v>
      </c>
      <c r="C32" s="168" t="s">
        <v>375</v>
      </c>
      <c r="D32" s="168">
        <f>Table68[[#Totals],[Segment Length (mi)]]</f>
        <v>0</v>
      </c>
      <c r="E32" s="168">
        <f>Table68[[#Totals],['# of Existing Cyclists]]</f>
        <v>0</v>
      </c>
      <c r="F32" s="222" t="e">
        <f>Table68[[#Totals],[Value per Cycling Mile]]</f>
        <v>#DIV/0!</v>
      </c>
      <c r="G32" s="222">
        <f>Table68[[#Totals],[Benefits to Existing Users Daily]]</f>
        <v>0</v>
      </c>
      <c r="H32" s="222">
        <f>Table68[[#Totals],[Annual Benefits ]]</f>
        <v>0</v>
      </c>
      <c r="I32" s="222">
        <f>Table70[[#This Row],[Annual Benefits]]*30</f>
        <v>0</v>
      </c>
    </row>
    <row r="33" spans="2:9" ht="25.5">
      <c r="B33" s="168" t="s">
        <v>376</v>
      </c>
      <c r="C33" s="168" t="s">
        <v>375</v>
      </c>
      <c r="D33" s="168">
        <f>Table69[[#Totals],[Segment Length (mi)]]</f>
        <v>0</v>
      </c>
      <c r="E33" s="353">
        <f>Table69[[#Totals],['# of Induced  Cyclists]]</f>
        <v>0</v>
      </c>
      <c r="F33" s="222" t="e">
        <f>Table69[[#Totals],[Value per Cycling Mile]]</f>
        <v>#DIV/0!</v>
      </c>
      <c r="G33" s="222">
        <f>Table69[[#Totals],[Benefits to Existing Users Daily]]</f>
        <v>0</v>
      </c>
      <c r="H33" s="222">
        <f>Table69[[#Totals],[Annual Benefits]]</f>
        <v>0</v>
      </c>
      <c r="I33" s="222">
        <f>Table70[[#This Row],[Annual Benefits]]*30</f>
        <v>0</v>
      </c>
    </row>
    <row r="34" spans="2:9">
      <c r="B34" s="168" t="s">
        <v>28</v>
      </c>
      <c r="H34" s="222">
        <f>SUBTOTAL(109,Table70[Annual Benefits])</f>
        <v>0</v>
      </c>
      <c r="I34" s="222">
        <f>SUBTOTAL(109,Table70[30-Year Total])</f>
        <v>0</v>
      </c>
    </row>
    <row r="43" spans="2:9" ht="12.75" customHeight="1"/>
    <row r="44" spans="2:9" ht="13.5" customHeight="1"/>
    <row r="71" ht="25.5" customHeight="1"/>
  </sheetData>
  <mergeCells count="6">
    <mergeCell ref="A1:I1"/>
    <mergeCell ref="B6:I6"/>
    <mergeCell ref="B8:I8"/>
    <mergeCell ref="B9:I9"/>
    <mergeCell ref="B10:I10"/>
    <mergeCell ref="B7:I7"/>
  </mergeCells>
  <pageMargins left="0.7" right="0.7" top="0.75" bottom="0.75" header="0.3" footer="0.3"/>
  <pageSetup scale="84" fitToHeight="0" orientation="landscape" r:id="rId1"/>
  <rowBreaks count="1" manualBreakCount="1">
    <brk id="19" max="16383" man="1"/>
  </rowBreaks>
  <drawing r:id="rId2"/>
  <tableParts count="3">
    <tablePart r:id="rId3"/>
    <tablePart r:id="rId4"/>
    <tablePart r:id="rId5"/>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E0DFC-D0AE-4D48-A161-5EEA6F5CB25C}">
  <sheetPr>
    <tabColor theme="9"/>
    <pageSetUpPr fitToPage="1"/>
  </sheetPr>
  <dimension ref="A1:I18"/>
  <sheetViews>
    <sheetView showGridLines="0" workbookViewId="0">
      <selection activeCell="A6" sqref="A6:I10"/>
    </sheetView>
  </sheetViews>
  <sheetFormatPr defaultRowHeight="12.75"/>
  <cols>
    <col min="1" max="1" width="21.7109375" customWidth="1"/>
    <col min="2" max="8" width="15.7109375" customWidth="1"/>
    <col min="9" max="9" width="25.7109375" customWidth="1"/>
  </cols>
  <sheetData>
    <row r="1" spans="1:9" ht="15" customHeight="1">
      <c r="A1" s="149" t="s">
        <v>377</v>
      </c>
      <c r="B1" s="150"/>
      <c r="C1" s="150"/>
      <c r="D1" s="150"/>
      <c r="E1" s="150"/>
      <c r="F1" s="150"/>
      <c r="G1" s="150"/>
      <c r="H1" s="150"/>
      <c r="I1" s="150"/>
    </row>
    <row r="2" spans="1:9" ht="15" customHeight="1">
      <c r="A2" s="87" t="s">
        <v>1</v>
      </c>
      <c r="B2" s="71" t="s">
        <v>59</v>
      </c>
      <c r="C2" s="82"/>
      <c r="D2" s="82"/>
      <c r="E2" s="82"/>
      <c r="F2" s="82"/>
      <c r="G2" s="82"/>
      <c r="H2" s="82"/>
      <c r="I2" s="82"/>
    </row>
    <row r="3" spans="1:9" ht="15" customHeight="1">
      <c r="A3" s="87" t="s">
        <v>4</v>
      </c>
      <c r="B3" s="88">
        <f ca="1">TODAY()</f>
        <v>45159</v>
      </c>
      <c r="C3" s="82"/>
      <c r="D3" s="82"/>
      <c r="E3" s="82"/>
      <c r="F3" s="82"/>
      <c r="G3" s="82"/>
      <c r="H3" s="82"/>
      <c r="I3" s="82"/>
    </row>
    <row r="4" spans="1:9" ht="30" customHeight="1" thickBot="1">
      <c r="A4" s="82"/>
      <c r="B4" s="82"/>
      <c r="C4" s="82"/>
      <c r="D4" s="82"/>
      <c r="E4" s="82"/>
      <c r="F4" s="82"/>
      <c r="G4" s="82"/>
      <c r="H4" s="82"/>
      <c r="I4" s="82"/>
    </row>
    <row r="5" spans="1:9" ht="30" customHeight="1" thickBot="1">
      <c r="A5" s="102" t="s">
        <v>99</v>
      </c>
      <c r="B5" s="489"/>
      <c r="C5" s="490"/>
      <c r="D5" s="490"/>
      <c r="E5" s="490"/>
      <c r="F5" s="490"/>
      <c r="G5" s="490"/>
      <c r="H5" s="490"/>
      <c r="I5" s="491"/>
    </row>
    <row r="6" spans="1:9" ht="30" customHeight="1" thickBot="1">
      <c r="A6" s="102" t="s">
        <v>101</v>
      </c>
      <c r="B6" s="489"/>
      <c r="C6" s="490"/>
      <c r="D6" s="490"/>
      <c r="E6" s="490"/>
      <c r="F6" s="490"/>
      <c r="G6" s="490"/>
      <c r="H6" s="490"/>
      <c r="I6" s="491"/>
    </row>
    <row r="7" spans="1:9" ht="30" customHeight="1" thickBot="1">
      <c r="A7" s="102" t="s">
        <v>103</v>
      </c>
      <c r="B7" s="489"/>
      <c r="C7" s="490"/>
      <c r="D7" s="490"/>
      <c r="E7" s="490"/>
      <c r="F7" s="490"/>
      <c r="G7" s="490"/>
      <c r="H7" s="490"/>
      <c r="I7" s="491"/>
    </row>
    <row r="8" spans="1:9" ht="30" customHeight="1" thickBot="1">
      <c r="A8" s="102" t="s">
        <v>105</v>
      </c>
      <c r="B8" s="489"/>
      <c r="C8" s="490"/>
      <c r="D8" s="490"/>
      <c r="E8" s="490"/>
      <c r="F8" s="490"/>
      <c r="G8" s="490"/>
      <c r="H8" s="490"/>
      <c r="I8" s="491"/>
    </row>
    <row r="9" spans="1:9" ht="69.75" customHeight="1" thickBot="1">
      <c r="A9" s="102" t="s">
        <v>107</v>
      </c>
      <c r="B9" s="489"/>
      <c r="C9" s="490"/>
      <c r="D9" s="490"/>
      <c r="E9" s="490"/>
      <c r="F9" s="490"/>
      <c r="G9" s="490"/>
      <c r="H9" s="490"/>
      <c r="I9" s="491"/>
    </row>
    <row r="11" spans="1:9">
      <c r="A11" s="223" t="s">
        <v>378</v>
      </c>
    </row>
    <row r="13" spans="1:9" s="318" customFormat="1" ht="38.25">
      <c r="A13" s="313" t="s">
        <v>42</v>
      </c>
      <c r="B13" s="320" t="s">
        <v>379</v>
      </c>
      <c r="C13" s="320" t="s">
        <v>380</v>
      </c>
      <c r="D13" s="320" t="s">
        <v>381</v>
      </c>
      <c r="E13" s="320" t="s">
        <v>382</v>
      </c>
      <c r="F13" s="320" t="s">
        <v>383</v>
      </c>
      <c r="G13" s="320" t="s">
        <v>384</v>
      </c>
      <c r="H13" s="320" t="s">
        <v>312</v>
      </c>
      <c r="I13" s="320" t="s">
        <v>96</v>
      </c>
    </row>
    <row r="14" spans="1:9">
      <c r="A14" t="s">
        <v>385</v>
      </c>
      <c r="B14" s="226"/>
      <c r="C14" s="224"/>
      <c r="D14" s="224"/>
      <c r="E14" s="225"/>
      <c r="F14" s="176">
        <f>'Appendix A. Parameter Values'!C101</f>
        <v>7.2</v>
      </c>
      <c r="G14" s="176">
        <f>E14*F14</f>
        <v>0</v>
      </c>
      <c r="H14" s="176">
        <f>Table71[[#This Row],[Benefits to Induced Users Daily]]*365</f>
        <v>0</v>
      </c>
      <c r="I14" s="176">
        <f>Table71[[#This Row],[Annual Benefit]]*30</f>
        <v>0</v>
      </c>
    </row>
    <row r="15" spans="1:9">
      <c r="A15" t="s">
        <v>386</v>
      </c>
      <c r="B15" s="226"/>
      <c r="C15" s="224"/>
      <c r="D15" s="224"/>
      <c r="E15" s="225"/>
      <c r="F15" s="176">
        <f>'Appendix A. Parameter Values'!C102</f>
        <v>6.42</v>
      </c>
      <c r="G15" s="176">
        <f>E15*F15</f>
        <v>0</v>
      </c>
      <c r="H15" s="176">
        <f>Table71[[#This Row],[Benefits to Induced Users Daily]]*365</f>
        <v>0</v>
      </c>
      <c r="I15" s="176">
        <f>Table71[[#This Row],[Annual Benefit]]*30</f>
        <v>0</v>
      </c>
    </row>
    <row r="16" spans="1:9">
      <c r="A16" t="s">
        <v>28</v>
      </c>
      <c r="B16" s="227"/>
      <c r="C16" s="321"/>
      <c r="D16" s="321"/>
      <c r="G16" s="176">
        <f>SUBTOTAL(109,Table71[Benefits to Induced Users Daily])</f>
        <v>0</v>
      </c>
      <c r="H16" s="176">
        <f>SUBTOTAL(109,Table71[Annual Benefit])</f>
        <v>0</v>
      </c>
      <c r="I16" s="176">
        <f>SUBTOTAL(109,Table71[30-Year Total])</f>
        <v>0</v>
      </c>
    </row>
    <row r="18" spans="2:2">
      <c r="B18" s="223"/>
    </row>
  </sheetData>
  <mergeCells count="5">
    <mergeCell ref="B5:I5"/>
    <mergeCell ref="B6:I6"/>
    <mergeCell ref="B7:I7"/>
    <mergeCell ref="B8:I8"/>
    <mergeCell ref="B9:I9"/>
  </mergeCells>
  <pageMargins left="0.7" right="0.7" top="0.75" bottom="0.75" header="0.3" footer="0.3"/>
  <pageSetup scale="79" fitToHeight="0" orientation="landscape" r:id="rId1"/>
  <drawing r:id="rId2"/>
  <tableParts count="1">
    <tablePart r:id="rId3"/>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C8E26-1C23-493D-8C08-F6D0F54CC624}">
  <sheetPr>
    <tabColor theme="0" tint="-0.249977111117893"/>
    <pageSetUpPr fitToPage="1"/>
  </sheetPr>
  <dimension ref="A1:I51"/>
  <sheetViews>
    <sheetView showGridLines="0" zoomScaleNormal="100" workbookViewId="0">
      <selection activeCell="A6" sqref="A6:I10"/>
    </sheetView>
  </sheetViews>
  <sheetFormatPr defaultRowHeight="12.75"/>
  <cols>
    <col min="1" max="1" width="25.5703125" customWidth="1"/>
    <col min="2" max="2" width="63" customWidth="1"/>
    <col min="3" max="3" width="59.140625" customWidth="1"/>
    <col min="4" max="4" width="15.5703125" customWidth="1"/>
    <col min="5" max="5" width="14" customWidth="1"/>
    <col min="6" max="6" width="0" hidden="1" customWidth="1"/>
    <col min="7" max="7" width="15.85546875" hidden="1" customWidth="1"/>
    <col min="8" max="8" width="0" hidden="1" customWidth="1"/>
  </cols>
  <sheetData>
    <row r="1" spans="1:9">
      <c r="A1" s="499" t="s">
        <v>387</v>
      </c>
      <c r="B1" s="500"/>
      <c r="C1" s="500"/>
      <c r="D1" s="500"/>
      <c r="E1" s="500"/>
      <c r="F1" s="500"/>
      <c r="G1" s="500"/>
      <c r="H1" s="500"/>
      <c r="I1" s="500"/>
    </row>
    <row r="2" spans="1:9">
      <c r="A2" s="99" t="s">
        <v>1</v>
      </c>
      <c r="B2" s="71" t="s">
        <v>59</v>
      </c>
      <c r="C2" s="81"/>
      <c r="D2" s="81"/>
      <c r="E2" s="81"/>
      <c r="F2" s="81"/>
      <c r="G2" s="81"/>
      <c r="H2" s="81"/>
      <c r="I2" s="81"/>
    </row>
    <row r="3" spans="1:9">
      <c r="A3" s="99" t="s">
        <v>4</v>
      </c>
      <c r="B3" s="100">
        <f ca="1">TODAY()</f>
        <v>45159</v>
      </c>
      <c r="C3" s="81"/>
      <c r="D3" s="81"/>
      <c r="E3" s="81"/>
      <c r="F3" s="81"/>
      <c r="G3" s="81"/>
      <c r="H3" s="81"/>
      <c r="I3" s="81"/>
    </row>
    <row r="4" spans="1:9" ht="30" customHeight="1">
      <c r="A4" s="81"/>
      <c r="B4" s="81"/>
      <c r="C4" s="81"/>
      <c r="D4" s="81" t="s">
        <v>341</v>
      </c>
      <c r="E4" s="81"/>
      <c r="F4" s="81"/>
      <c r="G4" s="81"/>
      <c r="H4" s="81"/>
      <c r="I4" s="81"/>
    </row>
    <row r="5" spans="1:9" ht="13.5" thickBot="1">
      <c r="A5" s="81"/>
      <c r="B5" s="81"/>
      <c r="C5" s="81"/>
      <c r="D5" s="81"/>
      <c r="E5" s="81"/>
      <c r="F5" s="81"/>
      <c r="G5" s="81"/>
      <c r="H5" s="81"/>
      <c r="I5" s="81"/>
    </row>
    <row r="6" spans="1:9" ht="13.5" customHeight="1">
      <c r="A6" s="534"/>
      <c r="B6" s="535"/>
      <c r="C6" s="535"/>
      <c r="D6" s="535"/>
      <c r="E6" s="535"/>
      <c r="F6" s="535"/>
      <c r="G6" s="535"/>
      <c r="H6" s="535"/>
      <c r="I6" s="536"/>
    </row>
    <row r="7" spans="1:9" ht="13.5" customHeight="1">
      <c r="A7" s="537"/>
      <c r="B7" s="538"/>
      <c r="C7" s="538"/>
      <c r="D7" s="538"/>
      <c r="E7" s="538"/>
      <c r="F7" s="538"/>
      <c r="G7" s="538"/>
      <c r="H7" s="538"/>
      <c r="I7" s="539"/>
    </row>
    <row r="8" spans="1:9" ht="13.5" customHeight="1">
      <c r="A8" s="537"/>
      <c r="B8" s="538"/>
      <c r="C8" s="538"/>
      <c r="D8" s="538"/>
      <c r="E8" s="538"/>
      <c r="F8" s="538"/>
      <c r="G8" s="538"/>
      <c r="H8" s="538"/>
      <c r="I8" s="539"/>
    </row>
    <row r="9" spans="1:9" ht="13.5" customHeight="1">
      <c r="A9" s="537"/>
      <c r="B9" s="538"/>
      <c r="C9" s="538"/>
      <c r="D9" s="538"/>
      <c r="E9" s="538"/>
      <c r="F9" s="538"/>
      <c r="G9" s="538"/>
      <c r="H9" s="538"/>
      <c r="I9" s="539"/>
    </row>
    <row r="10" spans="1:9" ht="13.5" customHeight="1" thickBot="1">
      <c r="A10" s="540"/>
      <c r="B10" s="541"/>
      <c r="C10" s="541"/>
      <c r="D10" s="541"/>
      <c r="E10" s="541"/>
      <c r="F10" s="541"/>
      <c r="G10" s="541"/>
      <c r="H10" s="541"/>
      <c r="I10" s="542"/>
    </row>
    <row r="13" spans="1:9" ht="13.5" thickBot="1"/>
    <row r="14" spans="1:9">
      <c r="A14" s="525" t="s">
        <v>388</v>
      </c>
      <c r="B14" s="526" t="s">
        <v>389</v>
      </c>
      <c r="C14" s="231"/>
      <c r="D14" s="232" t="s">
        <v>390</v>
      </c>
      <c r="E14" s="233" t="s">
        <v>391</v>
      </c>
    </row>
    <row r="15" spans="1:9">
      <c r="A15" s="525"/>
      <c r="B15" s="527"/>
      <c r="C15" s="223" t="s">
        <v>392</v>
      </c>
      <c r="D15" s="259"/>
      <c r="E15" s="260"/>
    </row>
    <row r="16" spans="1:9">
      <c r="A16" s="525"/>
      <c r="B16" s="527"/>
      <c r="C16" s="223" t="s">
        <v>393</v>
      </c>
      <c r="D16" s="259"/>
      <c r="E16" s="261"/>
    </row>
    <row r="17" spans="1:8">
      <c r="A17" s="525"/>
      <c r="B17" s="251"/>
      <c r="C17" s="223" t="s">
        <v>394</v>
      </c>
      <c r="D17" s="259"/>
      <c r="E17" s="261"/>
    </row>
    <row r="18" spans="1:8" ht="121.5" customHeight="1" thickBot="1">
      <c r="A18" s="525"/>
      <c r="B18" s="252" t="s">
        <v>395</v>
      </c>
      <c r="C18" s="253"/>
      <c r="D18" s="253"/>
      <c r="E18" s="254"/>
    </row>
    <row r="19" spans="1:8" ht="13.5" thickBot="1"/>
    <row r="20" spans="1:8">
      <c r="A20" s="525" t="s">
        <v>396</v>
      </c>
      <c r="B20" s="529" t="s">
        <v>397</v>
      </c>
      <c r="C20" s="231"/>
      <c r="D20" s="232" t="s">
        <v>390</v>
      </c>
      <c r="E20" s="233" t="s">
        <v>391</v>
      </c>
      <c r="F20" s="230"/>
    </row>
    <row r="21" spans="1:8">
      <c r="A21" s="525"/>
      <c r="B21" s="530"/>
      <c r="C21" s="223" t="s">
        <v>398</v>
      </c>
      <c r="D21" s="226"/>
      <c r="E21" s="244"/>
      <c r="F21" s="230"/>
    </row>
    <row r="22" spans="1:8">
      <c r="A22" s="525"/>
      <c r="B22" s="530"/>
      <c r="C22" s="223" t="s">
        <v>399</v>
      </c>
      <c r="D22" s="226"/>
      <c r="E22" s="244"/>
      <c r="F22" s="230"/>
    </row>
    <row r="23" spans="1:8">
      <c r="A23" s="525"/>
      <c r="B23" s="245" t="s">
        <v>400</v>
      </c>
      <c r="E23" s="246"/>
      <c r="F23" s="230"/>
    </row>
    <row r="24" spans="1:8">
      <c r="A24" s="525"/>
      <c r="B24" s="247"/>
      <c r="E24" s="246"/>
      <c r="F24" s="230"/>
    </row>
    <row r="25" spans="1:8">
      <c r="A25" s="525"/>
      <c r="B25" s="247"/>
      <c r="D25" s="242" t="s">
        <v>390</v>
      </c>
      <c r="E25" s="243" t="s">
        <v>391</v>
      </c>
      <c r="F25" s="230"/>
    </row>
    <row r="26" spans="1:8">
      <c r="A26" s="525"/>
      <c r="B26" s="248" t="s">
        <v>401</v>
      </c>
      <c r="C26" s="223" t="s">
        <v>402</v>
      </c>
      <c r="D26" s="226">
        <f>D21/H26</f>
        <v>0</v>
      </c>
      <c r="E26" s="244">
        <f>E21/H26</f>
        <v>0</v>
      </c>
      <c r="F26" s="230"/>
      <c r="G26" t="s">
        <v>403</v>
      </c>
      <c r="H26" s="224">
        <v>0.18</v>
      </c>
    </row>
    <row r="27" spans="1:8">
      <c r="A27" s="525"/>
      <c r="B27" s="245" t="s">
        <v>404</v>
      </c>
      <c r="C27" s="223" t="s">
        <v>405</v>
      </c>
      <c r="D27" s="226">
        <f>D22/H26</f>
        <v>0</v>
      </c>
      <c r="E27" s="244">
        <f>E22/H26</f>
        <v>0</v>
      </c>
      <c r="F27" s="230"/>
    </row>
    <row r="28" spans="1:8">
      <c r="A28" s="525"/>
      <c r="B28" s="247"/>
      <c r="E28" s="246"/>
      <c r="F28" s="230"/>
    </row>
    <row r="29" spans="1:8">
      <c r="A29" s="525"/>
      <c r="B29" s="248" t="s">
        <v>406</v>
      </c>
      <c r="C29" s="532" t="s">
        <v>407</v>
      </c>
      <c r="D29" s="543">
        <f>(D26*(5/12)+D27*(7/12))</f>
        <v>0</v>
      </c>
      <c r="E29" s="544">
        <f>(E26*(5/12)+E27*(7/12))</f>
        <v>0</v>
      </c>
      <c r="F29" s="230"/>
      <c r="G29" t="s">
        <v>408</v>
      </c>
      <c r="H29" s="227">
        <v>5</v>
      </c>
    </row>
    <row r="30" spans="1:8">
      <c r="A30" s="525"/>
      <c r="B30" s="245" t="s">
        <v>409</v>
      </c>
      <c r="C30" s="532"/>
      <c r="D30" s="543"/>
      <c r="E30" s="544"/>
      <c r="F30" s="230"/>
      <c r="G30" t="s">
        <v>410</v>
      </c>
      <c r="H30" s="227">
        <v>7</v>
      </c>
    </row>
    <row r="31" spans="1:8">
      <c r="A31" s="525"/>
      <c r="B31" s="249"/>
      <c r="D31" s="227"/>
      <c r="E31" s="234"/>
      <c r="F31" s="230"/>
    </row>
    <row r="32" spans="1:8">
      <c r="A32" s="525"/>
      <c r="B32" s="247"/>
      <c r="E32" s="246"/>
      <c r="F32" s="230"/>
    </row>
    <row r="33" spans="1:6">
      <c r="A33" s="525"/>
      <c r="B33" s="247"/>
      <c r="E33" s="246"/>
      <c r="F33" s="230"/>
    </row>
    <row r="34" spans="1:6">
      <c r="A34" s="525"/>
      <c r="B34" s="247"/>
      <c r="D34" s="242" t="s">
        <v>390</v>
      </c>
      <c r="E34" s="243" t="s">
        <v>391</v>
      </c>
      <c r="F34" s="230"/>
    </row>
    <row r="35" spans="1:6">
      <c r="A35" s="525"/>
      <c r="B35" s="248" t="s">
        <v>411</v>
      </c>
      <c r="C35" s="223" t="s">
        <v>412</v>
      </c>
      <c r="D35" s="226">
        <f>D29</f>
        <v>0</v>
      </c>
      <c r="E35" s="244">
        <f>E29</f>
        <v>0</v>
      </c>
      <c r="F35" s="230"/>
    </row>
    <row r="36" spans="1:6">
      <c r="A36" s="525"/>
      <c r="B36" s="533" t="s">
        <v>413</v>
      </c>
      <c r="C36" s="223" t="s">
        <v>414</v>
      </c>
      <c r="D36" s="227"/>
      <c r="E36" s="234"/>
      <c r="F36" s="230"/>
    </row>
    <row r="37" spans="1:6">
      <c r="A37" s="525"/>
      <c r="B37" s="533"/>
      <c r="C37" s="223" t="s">
        <v>415</v>
      </c>
      <c r="D37" s="226" t="e">
        <f>D35/D36</f>
        <v>#DIV/0!</v>
      </c>
      <c r="E37" s="244" t="e">
        <f>E35/E36</f>
        <v>#DIV/0!</v>
      </c>
      <c r="F37" s="230"/>
    </row>
    <row r="38" spans="1:6" ht="36" customHeight="1">
      <c r="A38" s="525"/>
      <c r="B38" s="533"/>
      <c r="C38" s="223" t="s">
        <v>416</v>
      </c>
      <c r="D38" s="227"/>
      <c r="E38" s="234"/>
      <c r="F38" s="230"/>
    </row>
    <row r="39" spans="1:6" ht="13.5" thickBot="1">
      <c r="A39" s="525"/>
      <c r="B39" s="250"/>
      <c r="C39" s="235" t="s">
        <v>417</v>
      </c>
      <c r="D39" s="257" t="e">
        <f>D37*D38</f>
        <v>#DIV/0!</v>
      </c>
      <c r="E39" s="258" t="e">
        <f>E37*E38</f>
        <v>#DIV/0!</v>
      </c>
      <c r="F39" s="230"/>
    </row>
    <row r="40" spans="1:6">
      <c r="D40" s="226"/>
      <c r="E40" s="226"/>
      <c r="F40" s="230"/>
    </row>
    <row r="41" spans="1:6" ht="13.5" thickBot="1">
      <c r="F41" s="230"/>
    </row>
    <row r="42" spans="1:6">
      <c r="A42" s="525" t="s">
        <v>418</v>
      </c>
      <c r="B42" s="526" t="s">
        <v>419</v>
      </c>
      <c r="C42" s="236" t="s">
        <v>420</v>
      </c>
      <c r="D42" s="237">
        <v>7500</v>
      </c>
      <c r="E42" s="238"/>
      <c r="F42" s="230"/>
    </row>
    <row r="43" spans="1:6">
      <c r="A43" s="525"/>
      <c r="B43" s="527"/>
      <c r="C43" s="223" t="s">
        <v>421</v>
      </c>
      <c r="D43" s="239">
        <v>4.0000000000000001E-3</v>
      </c>
      <c r="E43" s="234"/>
      <c r="F43" s="230"/>
    </row>
    <row r="44" spans="1:6">
      <c r="A44" s="525"/>
      <c r="B44" s="527"/>
      <c r="D44" s="240"/>
      <c r="E44" s="241"/>
      <c r="F44" s="230"/>
    </row>
    <row r="45" spans="1:6">
      <c r="A45" s="525"/>
      <c r="B45" s="527"/>
      <c r="D45" s="242" t="s">
        <v>390</v>
      </c>
      <c r="E45" s="243" t="s">
        <v>391</v>
      </c>
      <c r="F45" s="230"/>
    </row>
    <row r="46" spans="1:6" ht="13.5" thickBot="1">
      <c r="A46" s="525"/>
      <c r="B46" s="528"/>
      <c r="C46" s="235" t="s">
        <v>422</v>
      </c>
      <c r="D46" s="262">
        <f>D42*D43</f>
        <v>30</v>
      </c>
      <c r="E46" s="263">
        <f>D42*D43</f>
        <v>30</v>
      </c>
      <c r="F46" s="230"/>
    </row>
    <row r="47" spans="1:6">
      <c r="F47" s="230"/>
    </row>
    <row r="48" spans="1:6">
      <c r="C48" s="226"/>
      <c r="D48" s="226"/>
    </row>
    <row r="49" spans="2:4">
      <c r="B49" s="531"/>
      <c r="C49" s="226"/>
      <c r="D49" s="226"/>
    </row>
    <row r="50" spans="2:4">
      <c r="B50" s="531"/>
    </row>
    <row r="51" spans="2:4">
      <c r="B51" s="531"/>
    </row>
  </sheetData>
  <mergeCells count="13">
    <mergeCell ref="A6:I10"/>
    <mergeCell ref="A1:I1"/>
    <mergeCell ref="D29:D30"/>
    <mergeCell ref="E29:E30"/>
    <mergeCell ref="B14:B16"/>
    <mergeCell ref="A14:A18"/>
    <mergeCell ref="A20:A39"/>
    <mergeCell ref="A42:A46"/>
    <mergeCell ref="B42:B46"/>
    <mergeCell ref="B20:B22"/>
    <mergeCell ref="B49:B51"/>
    <mergeCell ref="C29:C30"/>
    <mergeCell ref="B36:B38"/>
  </mergeCells>
  <pageMargins left="0.7" right="0.7" top="0.75" bottom="0.75" header="0.3" footer="0.3"/>
  <pageSetup scale="63" orientation="landscape" horizontalDpi="1200" verticalDpi="120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pageSetUpPr fitToPage="1"/>
  </sheetPr>
  <dimension ref="A1:L27"/>
  <sheetViews>
    <sheetView topLeftCell="A7" workbookViewId="0">
      <selection activeCell="G26" sqref="G26"/>
    </sheetView>
  </sheetViews>
  <sheetFormatPr defaultColWidth="9.140625" defaultRowHeight="14.25"/>
  <cols>
    <col min="1" max="1" width="12.7109375" style="13" customWidth="1"/>
    <col min="2" max="2" width="33.140625" style="13" customWidth="1"/>
    <col min="3" max="3" width="11.28515625" style="13" customWidth="1"/>
    <col min="4" max="6" width="9.140625" style="13"/>
    <col min="7" max="7" width="19.140625" style="13" customWidth="1"/>
    <col min="8" max="16384" width="9.140625" style="13"/>
  </cols>
  <sheetData>
    <row r="1" spans="1:12">
      <c r="A1" s="545" t="s">
        <v>423</v>
      </c>
      <c r="B1" s="546"/>
      <c r="C1" s="546"/>
      <c r="D1" s="546"/>
      <c r="E1" s="546"/>
      <c r="F1" s="546"/>
      <c r="G1" s="546"/>
      <c r="H1" s="546"/>
      <c r="I1" s="546"/>
      <c r="J1" s="546"/>
      <c r="K1" s="546"/>
      <c r="L1" s="546"/>
    </row>
    <row r="2" spans="1:12">
      <c r="A2" s="14" t="s">
        <v>1</v>
      </c>
      <c r="B2" s="10" t="s">
        <v>234</v>
      </c>
    </row>
    <row r="3" spans="1:12">
      <c r="A3" s="14" t="s">
        <v>4</v>
      </c>
      <c r="B3" s="15">
        <f ca="1">TODAY()</f>
        <v>45159</v>
      </c>
    </row>
    <row r="4" spans="1:12" ht="30.75" customHeight="1" thickBot="1"/>
    <row r="5" spans="1:12">
      <c r="A5" s="547" t="s">
        <v>424</v>
      </c>
      <c r="B5" s="548"/>
      <c r="C5" s="548"/>
      <c r="D5" s="548"/>
      <c r="E5" s="548"/>
      <c r="F5" s="548"/>
      <c r="G5" s="548"/>
      <c r="H5" s="548"/>
      <c r="I5" s="548"/>
      <c r="J5" s="548"/>
      <c r="K5" s="548"/>
      <c r="L5" s="549"/>
    </row>
    <row r="6" spans="1:12" ht="202.5" customHeight="1" thickBot="1">
      <c r="A6" s="550"/>
      <c r="B6" s="551"/>
      <c r="C6" s="551"/>
      <c r="D6" s="551"/>
      <c r="E6" s="551"/>
      <c r="F6" s="551"/>
      <c r="G6" s="551"/>
      <c r="H6" s="551"/>
      <c r="I6" s="551"/>
      <c r="J6" s="551"/>
      <c r="K6" s="551"/>
      <c r="L6" s="552"/>
    </row>
    <row r="7" spans="1:12">
      <c r="A7" s="553" t="s">
        <v>425</v>
      </c>
      <c r="B7" s="553"/>
      <c r="C7" s="553"/>
      <c r="D7" s="553"/>
      <c r="E7" s="553"/>
      <c r="F7" s="553"/>
      <c r="G7" s="553"/>
    </row>
    <row r="8" spans="1:12">
      <c r="B8" s="14" t="s">
        <v>426</v>
      </c>
      <c r="C8" s="12"/>
      <c r="D8" s="13" t="s">
        <v>306</v>
      </c>
    </row>
    <row r="9" spans="1:12">
      <c r="B9" s="14" t="s">
        <v>427</v>
      </c>
      <c r="C9" s="11"/>
      <c r="D9" s="13" t="s">
        <v>296</v>
      </c>
    </row>
    <row r="10" spans="1:12">
      <c r="B10" s="14" t="s">
        <v>428</v>
      </c>
      <c r="C10" s="56">
        <v>0</v>
      </c>
      <c r="D10" s="13" t="s">
        <v>429</v>
      </c>
    </row>
    <row r="11" spans="1:12">
      <c r="B11" s="14" t="s">
        <v>430</v>
      </c>
      <c r="C11" s="16">
        <v>0.43</v>
      </c>
      <c r="D11" s="13" t="s">
        <v>301</v>
      </c>
      <c r="E11" s="17"/>
    </row>
    <row r="12" spans="1:12">
      <c r="B12" s="14" t="s">
        <v>431</v>
      </c>
      <c r="C12" s="16">
        <v>0.93</v>
      </c>
      <c r="D12" s="13" t="s">
        <v>301</v>
      </c>
      <c r="E12" s="17"/>
    </row>
    <row r="13" spans="1:12">
      <c r="B13" s="14" t="s">
        <v>297</v>
      </c>
      <c r="C13" s="18">
        <v>0.94</v>
      </c>
    </row>
    <row r="14" spans="1:12">
      <c r="B14" s="14" t="s">
        <v>299</v>
      </c>
      <c r="C14" s="18">
        <v>0.06</v>
      </c>
    </row>
    <row r="15" spans="1:12" ht="15" thickBot="1"/>
    <row r="16" spans="1:12" ht="15" thickBot="1">
      <c r="B16" s="19"/>
      <c r="C16" s="20"/>
      <c r="D16" s="20"/>
      <c r="E16" s="20"/>
      <c r="F16" s="21" t="s">
        <v>432</v>
      </c>
      <c r="G16" s="22">
        <f>(C9*C10*C11*C13*C8)+(C8*C9*C10*C12*C14)</f>
        <v>0</v>
      </c>
    </row>
    <row r="17" spans="1:7">
      <c r="F17" s="23"/>
      <c r="G17" s="24"/>
    </row>
    <row r="18" spans="1:7">
      <c r="A18" s="554" t="s">
        <v>433</v>
      </c>
      <c r="B18" s="554"/>
      <c r="C18" s="554"/>
      <c r="D18" s="554"/>
      <c r="E18" s="554"/>
      <c r="F18" s="554"/>
      <c r="G18" s="554"/>
    </row>
    <row r="19" spans="1:7">
      <c r="B19" s="14" t="s">
        <v>434</v>
      </c>
      <c r="C19" s="25">
        <v>1.67</v>
      </c>
      <c r="D19" s="13" t="s">
        <v>435</v>
      </c>
    </row>
    <row r="20" spans="1:7">
      <c r="B20" s="14" t="s">
        <v>436</v>
      </c>
      <c r="C20" s="25">
        <v>1</v>
      </c>
      <c r="D20" s="13" t="s">
        <v>435</v>
      </c>
    </row>
    <row r="21" spans="1:7">
      <c r="B21" s="14" t="s">
        <v>300</v>
      </c>
      <c r="C21" s="26">
        <v>17.899999999999999</v>
      </c>
      <c r="D21" s="13" t="s">
        <v>301</v>
      </c>
    </row>
    <row r="22" spans="1:7">
      <c r="B22" s="14" t="s">
        <v>302</v>
      </c>
      <c r="C22" s="26">
        <v>30.8</v>
      </c>
      <c r="D22" s="13" t="s">
        <v>301</v>
      </c>
    </row>
    <row r="23" spans="1:7">
      <c r="B23" s="14" t="s">
        <v>437</v>
      </c>
      <c r="C23" s="12">
        <v>0</v>
      </c>
      <c r="D23" s="13" t="s">
        <v>438</v>
      </c>
    </row>
    <row r="24" spans="1:7" ht="15" thickBot="1"/>
    <row r="25" spans="1:7" ht="15" thickBot="1">
      <c r="B25" s="19"/>
      <c r="C25" s="20"/>
      <c r="D25" s="20"/>
      <c r="E25" s="20"/>
      <c r="F25" s="21" t="s">
        <v>439</v>
      </c>
      <c r="G25" s="22">
        <f>IFERROR((C8*C9*C13*C19*C21*(C10/C23))+(C8*C9*C14*C20*C22*(C10/C23)),0)</f>
        <v>0</v>
      </c>
    </row>
    <row r="26" spans="1:7" ht="15" thickBot="1"/>
    <row r="27" spans="1:7" ht="38.25" customHeight="1" thickBot="1">
      <c r="B27" s="27"/>
      <c r="C27" s="28"/>
      <c r="D27" s="28"/>
      <c r="E27" s="28"/>
      <c r="F27" s="29" t="s">
        <v>440</v>
      </c>
      <c r="G27" s="30">
        <f>SUM(G25,G16)</f>
        <v>0</v>
      </c>
    </row>
  </sheetData>
  <mergeCells count="4">
    <mergeCell ref="A1:L1"/>
    <mergeCell ref="A5:L6"/>
    <mergeCell ref="A7:G7"/>
    <mergeCell ref="A18:G18"/>
  </mergeCells>
  <pageMargins left="0.7" right="0.7" top="0.75" bottom="0.75" header="0.3" footer="0.3"/>
  <pageSetup paperSize="3" scale="83"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431D2-AB63-487D-ABC1-7164DDD291C2}">
  <sheetPr>
    <tabColor theme="0" tint="-0.249977111117893"/>
    <pageSetUpPr fitToPage="1"/>
  </sheetPr>
  <dimension ref="A1:I128"/>
  <sheetViews>
    <sheetView showGridLines="0" zoomScaleNormal="100" workbookViewId="0">
      <selection activeCell="A129" sqref="A129"/>
    </sheetView>
  </sheetViews>
  <sheetFormatPr defaultColWidth="9.140625" defaultRowHeight="12.75"/>
  <cols>
    <col min="1" max="1" width="16.28515625" style="82" customWidth="1"/>
    <col min="2" max="2" width="15.7109375" style="82" customWidth="1"/>
    <col min="3" max="8" width="21.42578125" style="82" customWidth="1"/>
    <col min="9" max="9" width="17.85546875" style="82" customWidth="1"/>
    <col min="10" max="16384" width="9.140625" style="82"/>
  </cols>
  <sheetData>
    <row r="1" spans="1:9" ht="15" customHeight="1">
      <c r="A1" s="492" t="s">
        <v>218</v>
      </c>
      <c r="B1" s="493"/>
      <c r="C1" s="493"/>
      <c r="D1" s="493"/>
      <c r="E1" s="493"/>
      <c r="F1" s="493"/>
      <c r="G1" s="493"/>
      <c r="H1" s="493"/>
      <c r="I1" s="493"/>
    </row>
    <row r="2" spans="1:9" ht="15" customHeight="1">
      <c r="A2" s="87" t="s">
        <v>1</v>
      </c>
      <c r="B2" s="63" t="str">
        <f>Project_Name</f>
        <v>Completing the I-95 Missing Move and Quonset Connector Ramps</v>
      </c>
    </row>
    <row r="3" spans="1:9" ht="15" customHeight="1">
      <c r="A3" s="87" t="s">
        <v>2</v>
      </c>
      <c r="B3" s="63" t="s">
        <v>56</v>
      </c>
    </row>
    <row r="4" spans="1:9" ht="15" customHeight="1">
      <c r="A4" s="87" t="s">
        <v>4</v>
      </c>
      <c r="B4" s="88">
        <f>Date</f>
        <v>45159</v>
      </c>
    </row>
    <row r="5" spans="1:9" ht="30" customHeight="1">
      <c r="A5" s="87"/>
      <c r="B5" s="87"/>
      <c r="C5" s="88"/>
    </row>
    <row r="7" spans="1:9">
      <c r="B7" s="71" t="s">
        <v>219</v>
      </c>
    </row>
    <row r="8" spans="1:9">
      <c r="B8" s="71"/>
      <c r="C8" s="71"/>
      <c r="D8" s="71"/>
      <c r="E8" s="71"/>
      <c r="F8" s="71"/>
      <c r="G8" s="71"/>
      <c r="H8" s="71"/>
      <c r="I8" s="71"/>
    </row>
    <row r="9" spans="1:9" s="112" customFormat="1" ht="25.5">
      <c r="B9" s="122" t="s">
        <v>21</v>
      </c>
      <c r="C9" s="122" t="s">
        <v>153</v>
      </c>
      <c r="D9" s="122" t="s">
        <v>154</v>
      </c>
      <c r="E9" s="122" t="s">
        <v>155</v>
      </c>
      <c r="F9" s="122" t="s">
        <v>156</v>
      </c>
      <c r="G9" s="122" t="s">
        <v>220</v>
      </c>
      <c r="H9" s="122" t="s">
        <v>157</v>
      </c>
    </row>
    <row r="10" spans="1:9">
      <c r="B10" s="122">
        <f>First_Year+'Q_Appendix B. Project Info'!B20</f>
        <v>2023</v>
      </c>
      <c r="C10" s="217" cm="1">
        <f t="array" ref="C10">IF(Table3D.1_DailyTTS_NB110[[#This Row],[Year]]=Closeout,Traffic_27NB,Traffic_27NB+(TrafChange_NB*(Table3D.1_DailyTTS_NB110[[#This Row],[Year]]-2027)))</f>
        <v>67068.133333333331</v>
      </c>
      <c r="D10" s="415" cm="1">
        <f t="array" ref="D10">IF(Table3D.1_DailyTTS_NB110[[#This Row],[Year]]=Closeout,VMT_27NB,VMT_27NB+(VMTChange_NB*(Table3D.1_DailyTTS_NB110[[#This Row],[Year]]-2027)))</f>
        <v>85314.596000000005</v>
      </c>
      <c r="E10" s="415" cm="1">
        <f t="array" ref="E10">IF(Table3D.1_DailyTTS_NB110[[#This Row],[Year]]=Closeout,VHT_27NB,VHT_27NB+(VHTChange_NB*(Table3D.1_DailyTTS_NB110[[#This Row],[Year]]-2027)))</f>
        <v>3550.6686140740749</v>
      </c>
      <c r="F10" s="415" cm="1">
        <f t="array" ref="F10">IF(Table3D.1_DailyTTS_NB110[[#This Row],[Year]]=Closeout,MPH_27NB,MPH_27NB+(MPHChange_NB*(Table3D.1_DailyTTS_NB110[[#This Row],[Year]]-2027)))</f>
        <v>30.996755555555556</v>
      </c>
      <c r="G10" s="415" cm="1">
        <f t="array" ref="G10">IF(Table3D.1_DailyTTS_NB110[[#This Row],[Year]]=Closeout,DelayTot_27NB,DelayTot_27NB+(DelayTotChange_NB*(Table3D.1_DailyTTS_NB110[[#This Row],[Year]]-2027)))</f>
        <v>1406.3468737037037</v>
      </c>
      <c r="H10" s="431" cm="1">
        <f t="array" ref="H10">IF(Table3D.1_DailyTTS_NB110[[#This Row],[Year]]=Closeout,AvgDelay_27NB,AvgDelay_27NB+(DelayChange_NB*(Table3D.1_DailyTTS_NB110[[#This Row],[Year]]-2027)))</f>
        <v>2.6708456790123458E-2</v>
      </c>
    </row>
    <row r="11" spans="1:9">
      <c r="B11" s="122">
        <f>First_Year+'Q_Appendix B. Project Info'!B21</f>
        <v>2024</v>
      </c>
      <c r="C11" s="217" cm="1">
        <f t="array" ref="C11">IF(Table3D.1_DailyTTS_NB110[[#This Row],[Year]]=Closeout,Traffic_27NB,Traffic_27NB+(TrafChange_NB*(Table3D.1_DailyTTS_NB110[[#This Row],[Year]]-2027)))</f>
        <v>67466.100000000006</v>
      </c>
      <c r="D11" s="415" cm="1">
        <f t="array" ref="D11">IF(Table3D.1_DailyTTS_NB110[[#This Row],[Year]]=Closeout,VMT_27NB,VMT_27NB+(VMTChange_NB*(Table3D.1_DailyTTS_NB110[[#This Row],[Year]]-2027)))</f>
        <v>85893.592000000004</v>
      </c>
      <c r="E11" s="415" cm="1">
        <f t="array" ref="E11">IF(Table3D.1_DailyTTS_NB110[[#This Row],[Year]]=Closeout,VHT_27NB,VHT_27NB+(VHTChange_NB*(Table3D.1_DailyTTS_NB110[[#This Row],[Year]]-2027)))</f>
        <v>3569.8647494444454</v>
      </c>
      <c r="F11" s="415" cm="1">
        <f t="array" ref="F11">IF(Table3D.1_DailyTTS_NB110[[#This Row],[Year]]=Closeout,MPH_27NB,MPH_27NB+(MPHChange_NB*(Table3D.1_DailyTTS_NB110[[#This Row],[Year]]-2027)))</f>
        <v>31.007066666666667</v>
      </c>
      <c r="G11" s="415" cm="1">
        <f t="array" ref="G11">IF(Table3D.1_DailyTTS_NB110[[#This Row],[Year]]=Closeout,DelayTot_27NB,DelayTot_27NB+(DelayTotChange_NB*(Table3D.1_DailyTTS_NB110[[#This Row],[Year]]-2027)))</f>
        <v>1412.3751997222221</v>
      </c>
      <c r="H11" s="431" cm="1">
        <f t="array" ref="H11">IF(Table3D.1_DailyTTS_NB110[[#This Row],[Year]]=Closeout,AvgDelay_27NB,AvgDelay_27NB+(DelayChange_NB*(Table3D.1_DailyTTS_NB110[[#This Row],[Year]]-2027)))</f>
        <v>2.6710185185185188E-2</v>
      </c>
    </row>
    <row r="12" spans="1:9">
      <c r="B12" s="122">
        <f>First_Year+'Q_Appendix B. Project Info'!B22</f>
        <v>2025</v>
      </c>
      <c r="C12" s="217" cm="1">
        <f t="array" ref="C12">IF(Table3D.1_DailyTTS_NB110[[#This Row],[Year]]=Closeout,Traffic_27NB,Traffic_27NB+(TrafChange_NB*(Table3D.1_DailyTTS_NB110[[#This Row],[Year]]-2027)))</f>
        <v>67864.066666666666</v>
      </c>
      <c r="D12" s="415" cm="1">
        <f t="array" ref="D12">IF(Table3D.1_DailyTTS_NB110[[#This Row],[Year]]=Closeout,VMT_27NB,VMT_27NB+(VMTChange_NB*(Table3D.1_DailyTTS_NB110[[#This Row],[Year]]-2027)))</f>
        <v>86472.588000000003</v>
      </c>
      <c r="E12" s="415" cm="1">
        <f t="array" ref="E12">IF(Table3D.1_DailyTTS_NB110[[#This Row],[Year]]=Closeout,VHT_27NB,VHT_27NB+(VHTChange_NB*(Table3D.1_DailyTTS_NB110[[#This Row],[Year]]-2027)))</f>
        <v>3589.0608848148158</v>
      </c>
      <c r="F12" s="415" cm="1">
        <f t="array" ref="F12">IF(Table3D.1_DailyTTS_NB110[[#This Row],[Year]]=Closeout,MPH_27NB,MPH_27NB+(MPHChange_NB*(Table3D.1_DailyTTS_NB110[[#This Row],[Year]]-2027)))</f>
        <v>31.017377777777778</v>
      </c>
      <c r="G12" s="415" cm="1">
        <f t="array" ref="G12">IF(Table3D.1_DailyTTS_NB110[[#This Row],[Year]]=Closeout,DelayTot_27NB,DelayTot_27NB+(DelayTotChange_NB*(Table3D.1_DailyTTS_NB110[[#This Row],[Year]]-2027)))</f>
        <v>1418.4035257407406</v>
      </c>
      <c r="H12" s="431" cm="1">
        <f t="array" ref="H12">IF(Table3D.1_DailyTTS_NB110[[#This Row],[Year]]=Closeout,AvgDelay_27NB,AvgDelay_27NB+(DelayChange_NB*(Table3D.1_DailyTTS_NB110[[#This Row],[Year]]-2027)))</f>
        <v>2.6711913580246917E-2</v>
      </c>
    </row>
    <row r="13" spans="1:9">
      <c r="B13" s="122">
        <f>First_Year+'Q_Appendix B. Project Info'!B23</f>
        <v>2026</v>
      </c>
      <c r="C13" s="217" cm="1">
        <f t="array" ref="C13">IF(Table3D.1_DailyTTS_NB110[[#This Row],[Year]]=Closeout,Traffic_27NB,Traffic_27NB+(TrafChange_NB*(Table3D.1_DailyTTS_NB110[[#This Row],[Year]]-2027)))</f>
        <v>68262.03333333334</v>
      </c>
      <c r="D13" s="415" cm="1">
        <f t="array" ref="D13">IF(Table3D.1_DailyTTS_NB110[[#This Row],[Year]]=Closeout,VMT_27NB,VMT_27NB+(VMTChange_NB*(Table3D.1_DailyTTS_NB110[[#This Row],[Year]]-2027)))</f>
        <v>87051.584000000003</v>
      </c>
      <c r="E13" s="415" cm="1">
        <f t="array" ref="E13">IF(Table3D.1_DailyTTS_NB110[[#This Row],[Year]]=Closeout,VHT_27NB,VHT_27NB+(VHTChange_NB*(Table3D.1_DailyTTS_NB110[[#This Row],[Year]]-2027)))</f>
        <v>3608.2570201851859</v>
      </c>
      <c r="F13" s="415" cm="1">
        <f t="array" ref="F13">IF(Table3D.1_DailyTTS_NB110[[#This Row],[Year]]=Closeout,MPH_27NB,MPH_27NB+(MPHChange_NB*(Table3D.1_DailyTTS_NB110[[#This Row],[Year]]-2027)))</f>
        <v>31.027688888888889</v>
      </c>
      <c r="G13" s="415" cm="1">
        <f t="array" ref="G13">IF(Table3D.1_DailyTTS_NB110[[#This Row],[Year]]=Closeout,DelayTot_27NB,DelayTot_27NB+(DelayTotChange_NB*(Table3D.1_DailyTTS_NB110[[#This Row],[Year]]-2027)))</f>
        <v>1424.4318517592592</v>
      </c>
      <c r="H13" s="431" cm="1">
        <f t="array" ref="H13">IF(Table3D.1_DailyTTS_NB110[[#This Row],[Year]]=Closeout,AvgDelay_27NB,AvgDelay_27NB+(DelayChange_NB*(Table3D.1_DailyTTS_NB110[[#This Row],[Year]]-2027)))</f>
        <v>2.6713641975308643E-2</v>
      </c>
    </row>
    <row r="14" spans="1:9">
      <c r="B14" s="122">
        <f>First_Year+'Q_Appendix B. Project Info'!B24</f>
        <v>2027</v>
      </c>
      <c r="C14" s="217" cm="1">
        <f t="array" ref="C14">IF(Table3D.1_DailyTTS_NB110[[#This Row],[Year]]=Closeout,Traffic_27NB,Traffic_27NB+(TrafChange_NB*(Table3D.1_DailyTTS_NB110[[#This Row],[Year]]-2027)))</f>
        <v>68660</v>
      </c>
      <c r="D14" s="415" cm="1">
        <f t="array" ref="D14">IF(Table3D.1_DailyTTS_NB110[[#This Row],[Year]]=Closeout,VMT_27NB,VMT_27NB+(VMTChange_NB*(Table3D.1_DailyTTS_NB110[[#This Row],[Year]]-2027)))</f>
        <v>87630.58</v>
      </c>
      <c r="E14" s="415" cm="1">
        <f t="array" ref="E14">IF(Table3D.1_DailyTTS_NB110[[#This Row],[Year]]=Closeout,VHT_27NB,VHT_27NB+(VHTChange_NB*(Table3D.1_DailyTTS_NB110[[#This Row],[Year]]-2027)))</f>
        <v>3627.4531555555564</v>
      </c>
      <c r="F14" s="415" cm="1">
        <f t="array" ref="F14">IF(Table3D.1_DailyTTS_NB110[[#This Row],[Year]]=Closeout,MPH_27NB,MPH_27NB+(MPHChange_NB*(Table3D.1_DailyTTS_NB110[[#This Row],[Year]]-2027)))</f>
        <v>31.038</v>
      </c>
      <c r="G14" s="415" cm="1">
        <f t="array" ref="G14">IF(Table3D.1_DailyTTS_NB110[[#This Row],[Year]]=Closeout,DelayTot_27NB,DelayTot_27NB+(DelayTotChange_NB*(Table3D.1_DailyTTS_NB110[[#This Row],[Year]]-2027)))</f>
        <v>1430.4601777777777</v>
      </c>
      <c r="H14" s="431" cm="1">
        <f t="array" ref="H14">IF(Table3D.1_DailyTTS_NB110[[#This Row],[Year]]=Closeout,AvgDelay_27NB,AvgDelay_27NB+(DelayChange_NB*(Table3D.1_DailyTTS_NB110[[#This Row],[Year]]-2027)))</f>
        <v>2.6715370370370372E-2</v>
      </c>
    </row>
    <row r="15" spans="1:9">
      <c r="B15" s="122">
        <f>First_Year+'Q_Appendix B. Project Info'!B25</f>
        <v>2028</v>
      </c>
      <c r="C15" s="432" cm="1">
        <f t="array" ref="C15">IF(Table3D.1_DailyTTS_NB110[[#This Row],[Year]]=Closeout,Traffic_27NB,Traffic_27NB+(TrafChange_NB*(Table3D.1_DailyTTS_NB110[[#This Row],[Year]]-2027)))</f>
        <v>69057.96666666666</v>
      </c>
      <c r="D15" s="415" cm="1">
        <f t="array" ref="D15">IF(Table3D.1_DailyTTS_NB110[[#This Row],[Year]]=Closeout,VMT_27NB,VMT_27NB+(VMTChange_NB*(Table3D.1_DailyTTS_NB110[[#This Row],[Year]]-2027)))</f>
        <v>88209.576000000001</v>
      </c>
      <c r="E15" s="415" cm="1">
        <f t="array" ref="E15">IF(Table3D.1_DailyTTS_NB110[[#This Row],[Year]]=Closeout,VHT_27NB,VHT_27NB+(VHTChange_NB*(Table3D.1_DailyTTS_NB110[[#This Row],[Year]]-2027)))</f>
        <v>3646.6492909259268</v>
      </c>
      <c r="F15" s="415" cm="1">
        <f t="array" ref="F15">IF(Table3D.1_DailyTTS_NB110[[#This Row],[Year]]=Closeout,MPH_27NB,MPH_27NB+(MPHChange_NB*(Table3D.1_DailyTTS_NB110[[#This Row],[Year]]-2027)))</f>
        <v>31.048311111111111</v>
      </c>
      <c r="G15" s="415" cm="1">
        <f t="array" ref="G15">IF(Table3D.1_DailyTTS_NB110[[#This Row],[Year]]=Closeout,DelayTot_27NB,DelayTot_27NB+(DelayTotChange_NB*(Table3D.1_DailyTTS_NB110[[#This Row],[Year]]-2027)))</f>
        <v>1436.4885037962963</v>
      </c>
      <c r="H15" s="431" cm="1">
        <f t="array" ref="H15">IF(Table3D.1_DailyTTS_NB110[[#This Row],[Year]]=Closeout,AvgDelay_27NB,AvgDelay_27NB+(DelayChange_NB*(Table3D.1_DailyTTS_NB110[[#This Row],[Year]]-2027)))</f>
        <v>2.6717098765432101E-2</v>
      </c>
    </row>
    <row r="16" spans="1:9">
      <c r="B16" s="122">
        <f>First_Year+'Q_Appendix B. Project Info'!B26</f>
        <v>2029</v>
      </c>
      <c r="C16" s="432" cm="1">
        <f t="array" ref="C16">IF(Table3D.1_DailyTTS_NB110[[#This Row],[Year]]=Closeout,Traffic_27NB,Traffic_27NB+(TrafChange_NB*(Table3D.1_DailyTTS_NB110[[#This Row],[Year]]-2027)))</f>
        <v>69455.933333333334</v>
      </c>
      <c r="D16" s="415" cm="1">
        <f t="array" ref="D16">IF(Table3D.1_DailyTTS_NB110[[#This Row],[Year]]=Closeout,VMT_27NB,VMT_27NB+(VMTChange_NB*(Table3D.1_DailyTTS_NB110[[#This Row],[Year]]-2027)))</f>
        <v>88788.572</v>
      </c>
      <c r="E16" s="415" cm="1">
        <f t="array" ref="E16">IF(Table3D.1_DailyTTS_NB110[[#This Row],[Year]]=Closeout,VHT_27NB,VHT_27NB+(VHTChange_NB*(Table3D.1_DailyTTS_NB110[[#This Row],[Year]]-2027)))</f>
        <v>3665.8454262962969</v>
      </c>
      <c r="F16" s="415" cm="1">
        <f t="array" ref="F16">IF(Table3D.1_DailyTTS_NB110[[#This Row],[Year]]=Closeout,MPH_27NB,MPH_27NB+(MPHChange_NB*(Table3D.1_DailyTTS_NB110[[#This Row],[Year]]-2027)))</f>
        <v>31.058622222222223</v>
      </c>
      <c r="G16" s="415" cm="1">
        <f t="array" ref="G16">IF(Table3D.1_DailyTTS_NB110[[#This Row],[Year]]=Closeout,DelayTot_27NB,DelayTot_27NB+(DelayTotChange_NB*(Table3D.1_DailyTTS_NB110[[#This Row],[Year]]-2027)))</f>
        <v>1442.5168298148149</v>
      </c>
      <c r="H16" s="431" cm="1">
        <f t="array" ref="H16">IF(Table3D.1_DailyTTS_NB110[[#This Row],[Year]]=Closeout,AvgDelay_27NB,AvgDelay_27NB+(DelayChange_NB*(Table3D.1_DailyTTS_NB110[[#This Row],[Year]]-2027)))</f>
        <v>2.6718827160493827E-2</v>
      </c>
    </row>
    <row r="17" spans="2:8">
      <c r="B17" s="122">
        <f>First_Year+'Q_Appendix B. Project Info'!B27</f>
        <v>2030</v>
      </c>
      <c r="C17" s="432" cm="1">
        <f t="array" ref="C17">IF(Table3D.1_DailyTTS_NB110[[#This Row],[Year]]=Closeout,Traffic_27NB,Traffic_27NB+(TrafChange_NB*(Table3D.1_DailyTTS_NB110[[#This Row],[Year]]-2027)))</f>
        <v>69853.899999999994</v>
      </c>
      <c r="D17" s="415" cm="1">
        <f t="array" ref="D17">IF(Table3D.1_DailyTTS_NB110[[#This Row],[Year]]=Closeout,VMT_27NB,VMT_27NB+(VMTChange_NB*(Table3D.1_DailyTTS_NB110[[#This Row],[Year]]-2027)))</f>
        <v>89367.567999999999</v>
      </c>
      <c r="E17" s="415" cm="1">
        <f t="array" ref="E17">IF(Table3D.1_DailyTTS_NB110[[#This Row],[Year]]=Closeout,VHT_27NB,VHT_27NB+(VHTChange_NB*(Table3D.1_DailyTTS_NB110[[#This Row],[Year]]-2027)))</f>
        <v>3685.0415616666673</v>
      </c>
      <c r="F17" s="415" cm="1">
        <f t="array" ref="F17">IF(Table3D.1_DailyTTS_NB110[[#This Row],[Year]]=Closeout,MPH_27NB,MPH_27NB+(MPHChange_NB*(Table3D.1_DailyTTS_NB110[[#This Row],[Year]]-2027)))</f>
        <v>31.068933333333334</v>
      </c>
      <c r="G17" s="415" cm="1">
        <f t="array" ref="G17">IF(Table3D.1_DailyTTS_NB110[[#This Row],[Year]]=Closeout,DelayTot_27NB,DelayTot_27NB+(DelayTotChange_NB*(Table3D.1_DailyTTS_NB110[[#This Row],[Year]]-2027)))</f>
        <v>1448.5451558333334</v>
      </c>
      <c r="H17" s="431" cm="1">
        <f t="array" ref="H17">IF(Table3D.1_DailyTTS_NB110[[#This Row],[Year]]=Closeout,AvgDelay_27NB,AvgDelay_27NB+(DelayChange_NB*(Table3D.1_DailyTTS_NB110[[#This Row],[Year]]-2027)))</f>
        <v>2.6720555555555556E-2</v>
      </c>
    </row>
    <row r="18" spans="2:8">
      <c r="B18" s="122">
        <f>First_Year+'Q_Appendix B. Project Info'!B28</f>
        <v>2031</v>
      </c>
      <c r="C18" s="432" cm="1">
        <f t="array" ref="C18">IF(Table3D.1_DailyTTS_NB110[[#This Row],[Year]]=Closeout,Traffic_27NB,Traffic_27NB+(TrafChange_NB*(Table3D.1_DailyTTS_NB110[[#This Row],[Year]]-2027)))</f>
        <v>70251.866666666669</v>
      </c>
      <c r="D18" s="415" cm="1">
        <f t="array" ref="D18">IF(Table3D.1_DailyTTS_NB110[[#This Row],[Year]]=Closeout,VMT_27NB,VMT_27NB+(VMTChange_NB*(Table3D.1_DailyTTS_NB110[[#This Row],[Year]]-2027)))</f>
        <v>89946.563999999998</v>
      </c>
      <c r="E18" s="415" cm="1">
        <f t="array" ref="E18">IF(Table3D.1_DailyTTS_NB110[[#This Row],[Year]]=Closeout,VHT_27NB,VHT_27NB+(VHTChange_NB*(Table3D.1_DailyTTS_NB110[[#This Row],[Year]]-2027)))</f>
        <v>3704.2376970370378</v>
      </c>
      <c r="F18" s="415" cm="1">
        <f t="array" ref="F18">IF(Table3D.1_DailyTTS_NB110[[#This Row],[Year]]=Closeout,MPH_27NB,MPH_27NB+(MPHChange_NB*(Table3D.1_DailyTTS_NB110[[#This Row],[Year]]-2027)))</f>
        <v>31.079244444444445</v>
      </c>
      <c r="G18" s="415" cm="1">
        <f t="array" ref="G18">IF(Table3D.1_DailyTTS_NB110[[#This Row],[Year]]=Closeout,DelayTot_27NB,DelayTot_27NB+(DelayTotChange_NB*(Table3D.1_DailyTTS_NB110[[#This Row],[Year]]-2027)))</f>
        <v>1454.5734818518517</v>
      </c>
      <c r="H18" s="431" cm="1">
        <f t="array" ref="H18">IF(Table3D.1_DailyTTS_NB110[[#This Row],[Year]]=Closeout,AvgDelay_27NB,AvgDelay_27NB+(DelayChange_NB*(Table3D.1_DailyTTS_NB110[[#This Row],[Year]]-2027)))</f>
        <v>2.6722283950617286E-2</v>
      </c>
    </row>
    <row r="19" spans="2:8">
      <c r="B19" s="122">
        <f>First_Year+'Q_Appendix B. Project Info'!B29</f>
        <v>2032</v>
      </c>
      <c r="C19" s="432" cm="1">
        <f t="array" ref="C19">IF(Table3D.1_DailyTTS_NB110[[#This Row],[Year]]=Closeout,Traffic_27NB,Traffic_27NB+(TrafChange_NB*(Table3D.1_DailyTTS_NB110[[#This Row],[Year]]-2027)))</f>
        <v>70649.833333333328</v>
      </c>
      <c r="D19" s="415" cm="1">
        <f t="array" ref="D19">IF(Table3D.1_DailyTTS_NB110[[#This Row],[Year]]=Closeout,VMT_27NB,VMT_27NB+(VMTChange_NB*(Table3D.1_DailyTTS_NB110[[#This Row],[Year]]-2027)))</f>
        <v>90525.56</v>
      </c>
      <c r="E19" s="415" cm="1">
        <f t="array" ref="E19">IF(Table3D.1_DailyTTS_NB110[[#This Row],[Year]]=Closeout,VHT_27NB,VHT_27NB+(VHTChange_NB*(Table3D.1_DailyTTS_NB110[[#This Row],[Year]]-2027)))</f>
        <v>3723.4338324074079</v>
      </c>
      <c r="F19" s="415" cm="1">
        <f t="array" ref="F19">IF(Table3D.1_DailyTTS_NB110[[#This Row],[Year]]=Closeout,MPH_27NB,MPH_27NB+(MPHChange_NB*(Table3D.1_DailyTTS_NB110[[#This Row],[Year]]-2027)))</f>
        <v>31.089555555555556</v>
      </c>
      <c r="G19" s="415" cm="1">
        <f t="array" ref="G19">IF(Table3D.1_DailyTTS_NB110[[#This Row],[Year]]=Closeout,DelayTot_27NB,DelayTot_27NB+(DelayTotChange_NB*(Table3D.1_DailyTTS_NB110[[#This Row],[Year]]-2027)))</f>
        <v>1460.6018078703703</v>
      </c>
      <c r="H19" s="431" cm="1">
        <f t="array" ref="H19">IF(Table3D.1_DailyTTS_NB110[[#This Row],[Year]]=Closeout,AvgDelay_27NB,AvgDelay_27NB+(DelayChange_NB*(Table3D.1_DailyTTS_NB110[[#This Row],[Year]]-2027)))</f>
        <v>2.6724012345679012E-2</v>
      </c>
    </row>
    <row r="20" spans="2:8">
      <c r="B20" s="122">
        <f>First_Year+'Q_Appendix B. Project Info'!B30</f>
        <v>2033</v>
      </c>
      <c r="C20" s="432" cm="1">
        <f t="array" ref="C20">IF(Table3D.1_DailyTTS_NB110[[#This Row],[Year]]=Closeout,Traffic_27NB,Traffic_27NB+(TrafChange_NB*(Table3D.1_DailyTTS_NB110[[#This Row],[Year]]-2027)))</f>
        <v>71047.8</v>
      </c>
      <c r="D20" s="415" cm="1">
        <f t="array" ref="D20">IF(Table3D.1_DailyTTS_NB110[[#This Row],[Year]]=Closeout,VMT_27NB,VMT_27NB+(VMTChange_NB*(Table3D.1_DailyTTS_NB110[[#This Row],[Year]]-2027)))</f>
        <v>91104.555999999997</v>
      </c>
      <c r="E20" s="415" cm="1">
        <f t="array" ref="E20">IF(Table3D.1_DailyTTS_NB110[[#This Row],[Year]]=Closeout,VHT_27NB,VHT_27NB+(VHTChange_NB*(Table3D.1_DailyTTS_NB110[[#This Row],[Year]]-2027)))</f>
        <v>3742.6299677777783</v>
      </c>
      <c r="F20" s="415" cm="1">
        <f t="array" ref="F20">IF(Table3D.1_DailyTTS_NB110[[#This Row],[Year]]=Closeout,MPH_27NB,MPH_27NB+(MPHChange_NB*(Table3D.1_DailyTTS_NB110[[#This Row],[Year]]-2027)))</f>
        <v>31.099866666666667</v>
      </c>
      <c r="G20" s="415" cm="1">
        <f t="array" ref="G20">IF(Table3D.1_DailyTTS_NB110[[#This Row],[Year]]=Closeout,DelayTot_27NB,DelayTot_27NB+(DelayTotChange_NB*(Table3D.1_DailyTTS_NB110[[#This Row],[Year]]-2027)))</f>
        <v>1466.6301338888888</v>
      </c>
      <c r="H20" s="431" cm="1">
        <f t="array" ref="H20">IF(Table3D.1_DailyTTS_NB110[[#This Row],[Year]]=Closeout,AvgDelay_27NB,AvgDelay_27NB+(DelayChange_NB*(Table3D.1_DailyTTS_NB110[[#This Row],[Year]]-2027)))</f>
        <v>2.6725740740740741E-2</v>
      </c>
    </row>
    <row r="21" spans="2:8">
      <c r="B21" s="122">
        <f>First_Year+'Q_Appendix B. Project Info'!B31</f>
        <v>2034</v>
      </c>
      <c r="C21" s="432" cm="1">
        <f t="array" ref="C21">IF(Table3D.1_DailyTTS_NB110[[#This Row],[Year]]=Closeout,Traffic_27NB,Traffic_27NB+(TrafChange_NB*(Table3D.1_DailyTTS_NB110[[#This Row],[Year]]-2027)))</f>
        <v>71445.766666666663</v>
      </c>
      <c r="D21" s="415" cm="1">
        <f t="array" ref="D21">IF(Table3D.1_DailyTTS_NB110[[#This Row],[Year]]=Closeout,VMT_27NB,VMT_27NB+(VMTChange_NB*(Table3D.1_DailyTTS_NB110[[#This Row],[Year]]-2027)))</f>
        <v>91683.551999999996</v>
      </c>
      <c r="E21" s="415" cm="1">
        <f t="array" ref="E21">IF(Table3D.1_DailyTTS_NB110[[#This Row],[Year]]=Closeout,VHT_27NB,VHT_27NB+(VHTChange_NB*(Table3D.1_DailyTTS_NB110[[#This Row],[Year]]-2027)))</f>
        <v>3761.8261031481488</v>
      </c>
      <c r="F21" s="415" cm="1">
        <f t="array" ref="F21">IF(Table3D.1_DailyTTS_NB110[[#This Row],[Year]]=Closeout,MPH_27NB,MPH_27NB+(MPHChange_NB*(Table3D.1_DailyTTS_NB110[[#This Row],[Year]]-2027)))</f>
        <v>31.110177777777778</v>
      </c>
      <c r="G21" s="415" cm="1">
        <f t="array" ref="G21">IF(Table3D.1_DailyTTS_NB110[[#This Row],[Year]]=Closeout,DelayTot_27NB,DelayTot_27NB+(DelayTotChange_NB*(Table3D.1_DailyTTS_NB110[[#This Row],[Year]]-2027)))</f>
        <v>1472.6584599074074</v>
      </c>
      <c r="H21" s="431" cm="1">
        <f t="array" ref="H21">IF(Table3D.1_DailyTTS_NB110[[#This Row],[Year]]=Closeout,AvgDelay_27NB,AvgDelay_27NB+(DelayChange_NB*(Table3D.1_DailyTTS_NB110[[#This Row],[Year]]-2027)))</f>
        <v>2.672746913580247E-2</v>
      </c>
    </row>
    <row r="22" spans="2:8">
      <c r="B22" s="122">
        <f>First_Year+'Q_Appendix B. Project Info'!B32</f>
        <v>2035</v>
      </c>
      <c r="C22" s="432" cm="1">
        <f t="array" ref="C22">IF(Table3D.1_DailyTTS_NB110[[#This Row],[Year]]=Closeout,Traffic_27NB,Traffic_27NB+(TrafChange_NB*(Table3D.1_DailyTTS_NB110[[#This Row],[Year]]-2027)))</f>
        <v>71843.733333333337</v>
      </c>
      <c r="D22" s="415" cm="1">
        <f t="array" ref="D22">IF(Table3D.1_DailyTTS_NB110[[#This Row],[Year]]=Closeout,VMT_27NB,VMT_27NB+(VMTChange_NB*(Table3D.1_DailyTTS_NB110[[#This Row],[Year]]-2027)))</f>
        <v>92262.547999999995</v>
      </c>
      <c r="E22" s="415" cm="1">
        <f t="array" ref="E22">IF(Table3D.1_DailyTTS_NB110[[#This Row],[Year]]=Closeout,VHT_27NB,VHT_27NB+(VHTChange_NB*(Table3D.1_DailyTTS_NB110[[#This Row],[Year]]-2027)))</f>
        <v>3781.0222385185193</v>
      </c>
      <c r="F22" s="415" cm="1">
        <f t="array" ref="F22">IF(Table3D.1_DailyTTS_NB110[[#This Row],[Year]]=Closeout,MPH_27NB,MPH_27NB+(MPHChange_NB*(Table3D.1_DailyTTS_NB110[[#This Row],[Year]]-2027)))</f>
        <v>31.12048888888889</v>
      </c>
      <c r="G22" s="415" cm="1">
        <f t="array" ref="G22">IF(Table3D.1_DailyTTS_NB110[[#This Row],[Year]]=Closeout,DelayTot_27NB,DelayTot_27NB+(DelayTotChange_NB*(Table3D.1_DailyTTS_NB110[[#This Row],[Year]]-2027)))</f>
        <v>1478.686785925926</v>
      </c>
      <c r="H22" s="431" cm="1">
        <f t="array" ref="H22">IF(Table3D.1_DailyTTS_NB110[[#This Row],[Year]]=Closeout,AvgDelay_27NB,AvgDelay_27NB+(DelayChange_NB*(Table3D.1_DailyTTS_NB110[[#This Row],[Year]]-2027)))</f>
        <v>2.67291975308642E-2</v>
      </c>
    </row>
    <row r="23" spans="2:8">
      <c r="B23" s="122">
        <f>First_Year+'Q_Appendix B. Project Info'!B33</f>
        <v>2036</v>
      </c>
      <c r="C23" s="432" cm="1">
        <f t="array" ref="C23">IF(Table3D.1_DailyTTS_NB110[[#This Row],[Year]]=Closeout,Traffic_27NB,Traffic_27NB+(TrafChange_NB*(Table3D.1_DailyTTS_NB110[[#This Row],[Year]]-2027)))</f>
        <v>72241.7</v>
      </c>
      <c r="D23" s="415" cm="1">
        <f t="array" ref="D23">IF(Table3D.1_DailyTTS_NB110[[#This Row],[Year]]=Closeout,VMT_27NB,VMT_27NB+(VMTChange_NB*(Table3D.1_DailyTTS_NB110[[#This Row],[Year]]-2027)))</f>
        <v>92841.543999999994</v>
      </c>
      <c r="E23" s="415" cm="1">
        <f t="array" ref="E23">IF(Table3D.1_DailyTTS_NB110[[#This Row],[Year]]=Closeout,VHT_27NB,VHT_27NB+(VHTChange_NB*(Table3D.1_DailyTTS_NB110[[#This Row],[Year]]-2027)))</f>
        <v>3800.2183738888893</v>
      </c>
      <c r="F23" s="415" cm="1">
        <f t="array" ref="F23">IF(Table3D.1_DailyTTS_NB110[[#This Row],[Year]]=Closeout,MPH_27NB,MPH_27NB+(MPHChange_NB*(Table3D.1_DailyTTS_NB110[[#This Row],[Year]]-2027)))</f>
        <v>31.130800000000001</v>
      </c>
      <c r="G23" s="415" cm="1">
        <f t="array" ref="G23">IF(Table3D.1_DailyTTS_NB110[[#This Row],[Year]]=Closeout,DelayTot_27NB,DelayTot_27NB+(DelayTotChange_NB*(Table3D.1_DailyTTS_NB110[[#This Row],[Year]]-2027)))</f>
        <v>1484.7151119444445</v>
      </c>
      <c r="H23" s="431" cm="1">
        <f t="array" ref="H23">IF(Table3D.1_DailyTTS_NB110[[#This Row],[Year]]=Closeout,AvgDelay_27NB,AvgDelay_27NB+(DelayChange_NB*(Table3D.1_DailyTTS_NB110[[#This Row],[Year]]-2027)))</f>
        <v>2.6730925925925925E-2</v>
      </c>
    </row>
    <row r="24" spans="2:8">
      <c r="B24" s="122">
        <f>First_Year+'Q_Appendix B. Project Info'!B34</f>
        <v>2037</v>
      </c>
      <c r="C24" s="432" cm="1">
        <f t="array" ref="C24">IF(Table3D.1_DailyTTS_NB110[[#This Row],[Year]]=Closeout,Traffic_27NB,Traffic_27NB+(TrafChange_NB*(Table3D.1_DailyTTS_NB110[[#This Row],[Year]]-2027)))</f>
        <v>72639.666666666672</v>
      </c>
      <c r="D24" s="415" cm="1">
        <f t="array" ref="D24">IF(Table3D.1_DailyTTS_NB110[[#This Row],[Year]]=Closeout,VMT_27NB,VMT_27NB+(VMTChange_NB*(Table3D.1_DailyTTS_NB110[[#This Row],[Year]]-2027)))</f>
        <v>93420.54</v>
      </c>
      <c r="E24" s="415" cm="1">
        <f t="array" ref="E24">IF(Table3D.1_DailyTTS_NB110[[#This Row],[Year]]=Closeout,VHT_27NB,VHT_27NB+(VHTChange_NB*(Table3D.1_DailyTTS_NB110[[#This Row],[Year]]-2027)))</f>
        <v>3819.4145092592598</v>
      </c>
      <c r="F24" s="415" cm="1">
        <f t="array" ref="F24">IF(Table3D.1_DailyTTS_NB110[[#This Row],[Year]]=Closeout,MPH_27NB,MPH_27NB+(MPHChange_NB*(Table3D.1_DailyTTS_NB110[[#This Row],[Year]]-2027)))</f>
        <v>31.141111111111112</v>
      </c>
      <c r="G24" s="415" cm="1">
        <f t="array" ref="G24">IF(Table3D.1_DailyTTS_NB110[[#This Row],[Year]]=Closeout,DelayTot_27NB,DelayTot_27NB+(DelayTotChange_NB*(Table3D.1_DailyTTS_NB110[[#This Row],[Year]]-2027)))</f>
        <v>1490.7434379629631</v>
      </c>
      <c r="H24" s="431" cm="1">
        <f t="array" ref="H24">IF(Table3D.1_DailyTTS_NB110[[#This Row],[Year]]=Closeout,AvgDelay_27NB,AvgDelay_27NB+(DelayChange_NB*(Table3D.1_DailyTTS_NB110[[#This Row],[Year]]-2027)))</f>
        <v>2.6732654320987655E-2</v>
      </c>
    </row>
    <row r="25" spans="2:8">
      <c r="B25" s="122">
        <f>First_Year+'Q_Appendix B. Project Info'!B35</f>
        <v>2038</v>
      </c>
      <c r="C25" s="432" cm="1">
        <f t="array" ref="C25">IF(Table3D.1_DailyTTS_NB110[[#This Row],[Year]]=Closeout,Traffic_27NB,Traffic_27NB+(TrafChange_NB*(Table3D.1_DailyTTS_NB110[[#This Row],[Year]]-2027)))</f>
        <v>73037.633333333331</v>
      </c>
      <c r="D25" s="415" cm="1">
        <f t="array" ref="D25">IF(Table3D.1_DailyTTS_NB110[[#This Row],[Year]]=Closeout,VMT_27NB,VMT_27NB+(VMTChange_NB*(Table3D.1_DailyTTS_NB110[[#This Row],[Year]]-2027)))</f>
        <v>93999.535999999993</v>
      </c>
      <c r="E25" s="415" cm="1">
        <f t="array" ref="E25">IF(Table3D.1_DailyTTS_NB110[[#This Row],[Year]]=Closeout,VHT_27NB,VHT_27NB+(VHTChange_NB*(Table3D.1_DailyTTS_NB110[[#This Row],[Year]]-2027)))</f>
        <v>3838.6106446296303</v>
      </c>
      <c r="F25" s="415" cm="1">
        <f t="array" ref="F25">IF(Table3D.1_DailyTTS_NB110[[#This Row],[Year]]=Closeout,MPH_27NB,MPH_27NB+(MPHChange_NB*(Table3D.1_DailyTTS_NB110[[#This Row],[Year]]-2027)))</f>
        <v>31.151422222222223</v>
      </c>
      <c r="G25" s="415" cm="1">
        <f t="array" ref="G25">IF(Table3D.1_DailyTTS_NB110[[#This Row],[Year]]=Closeout,DelayTot_27NB,DelayTot_27NB+(DelayTotChange_NB*(Table3D.1_DailyTTS_NB110[[#This Row],[Year]]-2027)))</f>
        <v>1496.7717639814816</v>
      </c>
      <c r="H25" s="431" cm="1">
        <f t="array" ref="H25">IF(Table3D.1_DailyTTS_NB110[[#This Row],[Year]]=Closeout,AvgDelay_27NB,AvgDelay_27NB+(DelayChange_NB*(Table3D.1_DailyTTS_NB110[[#This Row],[Year]]-2027)))</f>
        <v>2.6734382716049384E-2</v>
      </c>
    </row>
    <row r="26" spans="2:8">
      <c r="B26" s="122">
        <f>First_Year+'Q_Appendix B. Project Info'!B36</f>
        <v>2039</v>
      </c>
      <c r="C26" s="432" cm="1">
        <f t="array" ref="C26">IF(Table3D.1_DailyTTS_NB110[[#This Row],[Year]]=Closeout,Traffic_27NB,Traffic_27NB+(TrafChange_NB*(Table3D.1_DailyTTS_NB110[[#This Row],[Year]]-2027)))</f>
        <v>73435.600000000006</v>
      </c>
      <c r="D26" s="415" cm="1">
        <f t="array" ref="D26">IF(Table3D.1_DailyTTS_NB110[[#This Row],[Year]]=Closeout,VMT_27NB,VMT_27NB+(VMTChange_NB*(Table3D.1_DailyTTS_NB110[[#This Row],[Year]]-2027)))</f>
        <v>94578.531999999992</v>
      </c>
      <c r="E26" s="415" cm="1">
        <f t="array" ref="E26">IF(Table3D.1_DailyTTS_NB110[[#This Row],[Year]]=Closeout,VHT_27NB,VHT_27NB+(VHTChange_NB*(Table3D.1_DailyTTS_NB110[[#This Row],[Year]]-2027)))</f>
        <v>3857.8067800000003</v>
      </c>
      <c r="F26" s="415" cm="1">
        <f t="array" ref="F26">IF(Table3D.1_DailyTTS_NB110[[#This Row],[Year]]=Closeout,MPH_27NB,MPH_27NB+(MPHChange_NB*(Table3D.1_DailyTTS_NB110[[#This Row],[Year]]-2027)))</f>
        <v>31.161733333333334</v>
      </c>
      <c r="G26" s="415" cm="1">
        <f t="array" ref="G26">IF(Table3D.1_DailyTTS_NB110[[#This Row],[Year]]=Closeout,DelayTot_27NB,DelayTot_27NB+(DelayTotChange_NB*(Table3D.1_DailyTTS_NB110[[#This Row],[Year]]-2027)))</f>
        <v>1502.80009</v>
      </c>
      <c r="H26" s="431" cm="1">
        <f t="array" ref="H26">IF(Table3D.1_DailyTTS_NB110[[#This Row],[Year]]=Closeout,AvgDelay_27NB,AvgDelay_27NB+(DelayChange_NB*(Table3D.1_DailyTTS_NB110[[#This Row],[Year]]-2027)))</f>
        <v>2.673611111111111E-2</v>
      </c>
    </row>
    <row r="27" spans="2:8">
      <c r="B27" s="122">
        <f>First_Year+'Q_Appendix B. Project Info'!B37</f>
        <v>2040</v>
      </c>
      <c r="C27" s="432" cm="1">
        <f t="array" ref="C27">IF(Table3D.1_DailyTTS_NB110[[#This Row],[Year]]=Closeout,Traffic_27NB,Traffic_27NB+(TrafChange_NB*(Table3D.1_DailyTTS_NB110[[#This Row],[Year]]-2027)))</f>
        <v>73833.566666666666</v>
      </c>
      <c r="D27" s="415" cm="1">
        <f t="array" ref="D27">IF(Table3D.1_DailyTTS_NB110[[#This Row],[Year]]=Closeout,VMT_27NB,VMT_27NB+(VMTChange_NB*(Table3D.1_DailyTTS_NB110[[#This Row],[Year]]-2027)))</f>
        <v>95157.527999999991</v>
      </c>
      <c r="E27" s="415" cm="1">
        <f t="array" ref="E27">IF(Table3D.1_DailyTTS_NB110[[#This Row],[Year]]=Closeout,VHT_27NB,VHT_27NB+(VHTChange_NB*(Table3D.1_DailyTTS_NB110[[#This Row],[Year]]-2027)))</f>
        <v>3877.0029153703708</v>
      </c>
      <c r="F27" s="415" cm="1">
        <f t="array" ref="F27">IF(Table3D.1_DailyTTS_NB110[[#This Row],[Year]]=Closeout,MPH_27NB,MPH_27NB+(MPHChange_NB*(Table3D.1_DailyTTS_NB110[[#This Row],[Year]]-2027)))</f>
        <v>31.172044444444445</v>
      </c>
      <c r="G27" s="415" cm="1">
        <f t="array" ref="G27">IF(Table3D.1_DailyTTS_NB110[[#This Row],[Year]]=Closeout,DelayTot_27NB,DelayTot_27NB+(DelayTotChange_NB*(Table3D.1_DailyTTS_NB110[[#This Row],[Year]]-2027)))</f>
        <v>1508.8284160185185</v>
      </c>
      <c r="H27" s="431" cm="1">
        <f t="array" ref="H27">IF(Table3D.1_DailyTTS_NB110[[#This Row],[Year]]=Closeout,AvgDelay_27NB,AvgDelay_27NB+(DelayChange_NB*(Table3D.1_DailyTTS_NB110[[#This Row],[Year]]-2027)))</f>
        <v>2.6737839506172839E-2</v>
      </c>
    </row>
    <row r="28" spans="2:8">
      <c r="B28" s="122">
        <f>First_Year+'Q_Appendix B. Project Info'!B38</f>
        <v>2041</v>
      </c>
      <c r="C28" s="432" cm="1">
        <f t="array" ref="C28">IF(Table3D.1_DailyTTS_NB110[[#This Row],[Year]]=Closeout,Traffic_27NB,Traffic_27NB+(TrafChange_NB*(Table3D.1_DailyTTS_NB110[[#This Row],[Year]]-2027)))</f>
        <v>74231.533333333326</v>
      </c>
      <c r="D28" s="415" cm="1">
        <f t="array" ref="D28">IF(Table3D.1_DailyTTS_NB110[[#This Row],[Year]]=Closeout,VMT_27NB,VMT_27NB+(VMTChange_NB*(Table3D.1_DailyTTS_NB110[[#This Row],[Year]]-2027)))</f>
        <v>95736.52399999999</v>
      </c>
      <c r="E28" s="415" cm="1">
        <f t="array" ref="E28">IF(Table3D.1_DailyTTS_NB110[[#This Row],[Year]]=Closeout,VHT_27NB,VHT_27NB+(VHTChange_NB*(Table3D.1_DailyTTS_NB110[[#This Row],[Year]]-2027)))</f>
        <v>3896.1990507407413</v>
      </c>
      <c r="F28" s="415" cm="1">
        <f t="array" ref="F28">IF(Table3D.1_DailyTTS_NB110[[#This Row],[Year]]=Closeout,MPH_27NB,MPH_27NB+(MPHChange_NB*(Table3D.1_DailyTTS_NB110[[#This Row],[Year]]-2027)))</f>
        <v>31.182355555555556</v>
      </c>
      <c r="G28" s="415" cm="1">
        <f t="array" ref="G28">IF(Table3D.1_DailyTTS_NB110[[#This Row],[Year]]=Closeout,DelayTot_27NB,DelayTot_27NB+(DelayTotChange_NB*(Table3D.1_DailyTTS_NB110[[#This Row],[Year]]-2027)))</f>
        <v>1514.8567420370371</v>
      </c>
      <c r="H28" s="431" cm="1">
        <f t="array" ref="H28">IF(Table3D.1_DailyTTS_NB110[[#This Row],[Year]]=Closeout,AvgDelay_27NB,AvgDelay_27NB+(DelayChange_NB*(Table3D.1_DailyTTS_NB110[[#This Row],[Year]]-2027)))</f>
        <v>2.6739567901234568E-2</v>
      </c>
    </row>
    <row r="29" spans="2:8">
      <c r="B29" s="122">
        <f>First_Year+'Q_Appendix B. Project Info'!B39</f>
        <v>2042</v>
      </c>
      <c r="C29" s="432" cm="1">
        <f t="array" ref="C29">IF(Table3D.1_DailyTTS_NB110[[#This Row],[Year]]=Closeout,Traffic_27NB,Traffic_27NB+(TrafChange_NB*(Table3D.1_DailyTTS_NB110[[#This Row],[Year]]-2027)))</f>
        <v>74629.5</v>
      </c>
      <c r="D29" s="415" cm="1">
        <f t="array" ref="D29">IF(Table3D.1_DailyTTS_NB110[[#This Row],[Year]]=Closeout,VMT_27NB,VMT_27NB+(VMTChange_NB*(Table3D.1_DailyTTS_NB110[[#This Row],[Year]]-2027)))</f>
        <v>96315.51999999999</v>
      </c>
      <c r="E29" s="415" cm="1">
        <f t="array" ref="E29">IF(Table3D.1_DailyTTS_NB110[[#This Row],[Year]]=Closeout,VHT_27NB,VHT_27NB+(VHTChange_NB*(Table3D.1_DailyTTS_NB110[[#This Row],[Year]]-2027)))</f>
        <v>3915.3951861111118</v>
      </c>
      <c r="F29" s="415" cm="1">
        <f t="array" ref="F29">IF(Table3D.1_DailyTTS_NB110[[#This Row],[Year]]=Closeout,MPH_27NB,MPH_27NB+(MPHChange_NB*(Table3D.1_DailyTTS_NB110[[#This Row],[Year]]-2027)))</f>
        <v>31.192666666666668</v>
      </c>
      <c r="G29" s="415" cm="1">
        <f t="array" ref="G29">IF(Table3D.1_DailyTTS_NB110[[#This Row],[Year]]=Closeout,DelayTot_27NB,DelayTot_27NB+(DelayTotChange_NB*(Table3D.1_DailyTTS_NB110[[#This Row],[Year]]-2027)))</f>
        <v>1520.8850680555556</v>
      </c>
      <c r="H29" s="431" cm="1">
        <f t="array" ref="H29">IF(Table3D.1_DailyTTS_NB110[[#This Row],[Year]]=Closeout,AvgDelay_27NB,AvgDelay_27NB+(DelayChange_NB*(Table3D.1_DailyTTS_NB110[[#This Row],[Year]]-2027)))</f>
        <v>2.6741296296296298E-2</v>
      </c>
    </row>
    <row r="30" spans="2:8">
      <c r="B30" s="122">
        <f>First_Year+'Q_Appendix B. Project Info'!B40</f>
        <v>2043</v>
      </c>
      <c r="C30" s="432" cm="1">
        <f t="array" ref="C30">IF(Table3D.1_DailyTTS_NB110[[#This Row],[Year]]=Closeout,Traffic_27NB,Traffic_27NB+(TrafChange_NB*(Table3D.1_DailyTTS_NB110[[#This Row],[Year]]-2027)))</f>
        <v>75027.46666666666</v>
      </c>
      <c r="D30" s="415" cm="1">
        <f t="array" ref="D30">IF(Table3D.1_DailyTTS_NB110[[#This Row],[Year]]=Closeout,VMT_27NB,VMT_27NB+(VMTChange_NB*(Table3D.1_DailyTTS_NB110[[#This Row],[Year]]-2027)))</f>
        <v>96894.516000000003</v>
      </c>
      <c r="E30" s="415" cm="1">
        <f t="array" ref="E30">IF(Table3D.1_DailyTTS_NB110[[#This Row],[Year]]=Closeout,VHT_27NB,VHT_27NB+(VHTChange_NB*(Table3D.1_DailyTTS_NB110[[#This Row],[Year]]-2027)))</f>
        <v>3934.5913214814818</v>
      </c>
      <c r="F30" s="415" cm="1">
        <f t="array" ref="F30">IF(Table3D.1_DailyTTS_NB110[[#This Row],[Year]]=Closeout,MPH_27NB,MPH_27NB+(MPHChange_NB*(Table3D.1_DailyTTS_NB110[[#This Row],[Year]]-2027)))</f>
        <v>31.202977777777775</v>
      </c>
      <c r="G30" s="415" cm="1">
        <f t="array" ref="G30">IF(Table3D.1_DailyTTS_NB110[[#This Row],[Year]]=Closeout,DelayTot_27NB,DelayTot_27NB+(DelayTotChange_NB*(Table3D.1_DailyTTS_NB110[[#This Row],[Year]]-2027)))</f>
        <v>1526.9133940740742</v>
      </c>
      <c r="H30" s="431" cm="1">
        <f t="array" ref="H30">IF(Table3D.1_DailyTTS_NB110[[#This Row],[Year]]=Closeout,AvgDelay_27NB,AvgDelay_27NB+(DelayChange_NB*(Table3D.1_DailyTTS_NB110[[#This Row],[Year]]-2027)))</f>
        <v>2.6743024691358024E-2</v>
      </c>
    </row>
    <row r="31" spans="2:8">
      <c r="B31" s="122">
        <f>First_Year+'Q_Appendix B. Project Info'!B41</f>
        <v>2044</v>
      </c>
      <c r="C31" s="432" cm="1">
        <f t="array" ref="C31">IF(Table3D.1_DailyTTS_NB110[[#This Row],[Year]]=Closeout,Traffic_27NB,Traffic_27NB+(TrafChange_NB*(Table3D.1_DailyTTS_NB110[[#This Row],[Year]]-2027)))</f>
        <v>75425.433333333334</v>
      </c>
      <c r="D31" s="415" cm="1">
        <f t="array" ref="D31">IF(Table3D.1_DailyTTS_NB110[[#This Row],[Year]]=Closeout,VMT_27NB,VMT_27NB+(VMTChange_NB*(Table3D.1_DailyTTS_NB110[[#This Row],[Year]]-2027)))</f>
        <v>97473.511999999988</v>
      </c>
      <c r="E31" s="415" cm="1">
        <f t="array" ref="E31">IF(Table3D.1_DailyTTS_NB110[[#This Row],[Year]]=Closeout,VHT_27NB,VHT_27NB+(VHTChange_NB*(Table3D.1_DailyTTS_NB110[[#This Row],[Year]]-2027)))</f>
        <v>3953.7874568518523</v>
      </c>
      <c r="F31" s="415" cm="1">
        <f t="array" ref="F31">IF(Table3D.1_DailyTTS_NB110[[#This Row],[Year]]=Closeout,MPH_27NB,MPH_27NB+(MPHChange_NB*(Table3D.1_DailyTTS_NB110[[#This Row],[Year]]-2027)))</f>
        <v>31.213288888888886</v>
      </c>
      <c r="G31" s="415" cm="1">
        <f t="array" ref="G31">IF(Table3D.1_DailyTTS_NB110[[#This Row],[Year]]=Closeout,DelayTot_27NB,DelayTot_27NB+(DelayTotChange_NB*(Table3D.1_DailyTTS_NB110[[#This Row],[Year]]-2027)))</f>
        <v>1532.9417200925927</v>
      </c>
      <c r="H31" s="431" cm="1">
        <f t="array" ref="H31">IF(Table3D.1_DailyTTS_NB110[[#This Row],[Year]]=Closeout,AvgDelay_27NB,AvgDelay_27NB+(DelayChange_NB*(Table3D.1_DailyTTS_NB110[[#This Row],[Year]]-2027)))</f>
        <v>2.6744753086419753E-2</v>
      </c>
    </row>
    <row r="32" spans="2:8">
      <c r="B32" s="122">
        <f>First_Year+'Q_Appendix B. Project Info'!B42</f>
        <v>2045</v>
      </c>
      <c r="C32" s="432" cm="1">
        <f t="array" ref="C32">IF(Table3D.1_DailyTTS_NB110[[#This Row],[Year]]=Closeout,Traffic_27NB,Traffic_27NB+(TrafChange_NB*(Table3D.1_DailyTTS_NB110[[#This Row],[Year]]-2027)))</f>
        <v>75823.399999999994</v>
      </c>
      <c r="D32" s="415" cm="1">
        <f t="array" ref="D32">IF(Table3D.1_DailyTTS_NB110[[#This Row],[Year]]=Closeout,VMT_27NB,VMT_27NB+(VMTChange_NB*(Table3D.1_DailyTTS_NB110[[#This Row],[Year]]-2027)))</f>
        <v>98052.508000000002</v>
      </c>
      <c r="E32" s="415" cm="1">
        <f t="array" ref="E32">IF(Table3D.1_DailyTTS_NB110[[#This Row],[Year]]=Closeout,VHT_27NB,VHT_27NB+(VHTChange_NB*(Table3D.1_DailyTTS_NB110[[#This Row],[Year]]-2027)))</f>
        <v>3972.9835922222228</v>
      </c>
      <c r="F32" s="415" cm="1">
        <f t="array" ref="F32">IF(Table3D.1_DailyTTS_NB110[[#This Row],[Year]]=Closeout,MPH_27NB,MPH_27NB+(MPHChange_NB*(Table3D.1_DailyTTS_NB110[[#This Row],[Year]]-2027)))</f>
        <v>31.223599999999998</v>
      </c>
      <c r="G32" s="415" cm="1">
        <f t="array" ref="G32">IF(Table3D.1_DailyTTS_NB110[[#This Row],[Year]]=Closeout,DelayTot_27NB,DelayTot_27NB+(DelayTotChange_NB*(Table3D.1_DailyTTS_NB110[[#This Row],[Year]]-2027)))</f>
        <v>1538.9700461111113</v>
      </c>
      <c r="H32" s="431" cm="1">
        <f t="array" ref="H32">IF(Table3D.1_DailyTTS_NB110[[#This Row],[Year]]=Closeout,AvgDelay_27NB,AvgDelay_27NB+(DelayChange_NB*(Table3D.1_DailyTTS_NB110[[#This Row],[Year]]-2027)))</f>
        <v>2.6746481481481482E-2</v>
      </c>
    </row>
    <row r="33" spans="2:8">
      <c r="B33" s="122">
        <f>First_Year+'Q_Appendix B. Project Info'!B43</f>
        <v>2046</v>
      </c>
      <c r="C33" s="432" cm="1">
        <f t="array" ref="C33">IF(Table3D.1_DailyTTS_NB110[[#This Row],[Year]]=Closeout,Traffic_27NB,Traffic_27NB+(TrafChange_NB*(Table3D.1_DailyTTS_NB110[[#This Row],[Year]]-2027)))</f>
        <v>76221.366666666669</v>
      </c>
      <c r="D33" s="415" cm="1">
        <f t="array" ref="D33">IF(Table3D.1_DailyTTS_NB110[[#This Row],[Year]]=Closeout,VMT_27NB,VMT_27NB+(VMTChange_NB*(Table3D.1_DailyTTS_NB110[[#This Row],[Year]]-2027)))</f>
        <v>98631.504000000001</v>
      </c>
      <c r="E33" s="415" cm="1">
        <f t="array" ref="E33">IF(Table3D.1_DailyTTS_NB110[[#This Row],[Year]]=Closeout,VHT_27NB,VHT_27NB+(VHTChange_NB*(Table3D.1_DailyTTS_NB110[[#This Row],[Year]]-2027)))</f>
        <v>3992.1797275925928</v>
      </c>
      <c r="F33" s="415" cm="1">
        <f t="array" ref="F33">IF(Table3D.1_DailyTTS_NB110[[#This Row],[Year]]=Closeout,MPH_27NB,MPH_27NB+(MPHChange_NB*(Table3D.1_DailyTTS_NB110[[#This Row],[Year]]-2027)))</f>
        <v>31.233911111111109</v>
      </c>
      <c r="G33" s="415" cm="1">
        <f t="array" ref="G33">IF(Table3D.1_DailyTTS_NB110[[#This Row],[Year]]=Closeout,DelayTot_27NB,DelayTot_27NB+(DelayTotChange_NB*(Table3D.1_DailyTTS_NB110[[#This Row],[Year]]-2027)))</f>
        <v>1544.9983721296298</v>
      </c>
      <c r="H33" s="431" cm="1">
        <f t="array" ref="H33">IF(Table3D.1_DailyTTS_NB110[[#This Row],[Year]]=Closeout,AvgDelay_27NB,AvgDelay_27NB+(DelayChange_NB*(Table3D.1_DailyTTS_NB110[[#This Row],[Year]]-2027)))</f>
        <v>2.6748209876543208E-2</v>
      </c>
    </row>
    <row r="34" spans="2:8">
      <c r="B34" s="122">
        <f>First_Year+'Q_Appendix B. Project Info'!B44</f>
        <v>2047</v>
      </c>
      <c r="C34" s="432" cm="1">
        <f t="array" ref="C34">IF(Table3D.1_DailyTTS_NB110[[#This Row],[Year]]=Closeout,Traffic_27NB,Traffic_27NB+(TrafChange_NB*(Table3D.1_DailyTTS_NB110[[#This Row],[Year]]-2027)))</f>
        <v>76619.333333333328</v>
      </c>
      <c r="D34" s="415" cm="1">
        <f t="array" ref="D34">IF(Table3D.1_DailyTTS_NB110[[#This Row],[Year]]=Closeout,VMT_27NB,VMT_27NB+(VMTChange_NB*(Table3D.1_DailyTTS_NB110[[#This Row],[Year]]-2027)))</f>
        <v>99210.5</v>
      </c>
      <c r="E34" s="415" cm="1">
        <f t="array" ref="E34">IF(Table3D.1_DailyTTS_NB110[[#This Row],[Year]]=Closeout,VHT_27NB,VHT_27NB+(VHTChange_NB*(Table3D.1_DailyTTS_NB110[[#This Row],[Year]]-2027)))</f>
        <v>4011.3758629629633</v>
      </c>
      <c r="F34" s="415" cm="1">
        <f t="array" ref="F34">IF(Table3D.1_DailyTTS_NB110[[#This Row],[Year]]=Closeout,MPH_27NB,MPH_27NB+(MPHChange_NB*(Table3D.1_DailyTTS_NB110[[#This Row],[Year]]-2027)))</f>
        <v>31.24422222222222</v>
      </c>
      <c r="G34" s="415" cm="1">
        <f t="array" ref="G34">IF(Table3D.1_DailyTTS_NB110[[#This Row],[Year]]=Closeout,DelayTot_27NB,DelayTot_27NB+(DelayTotChange_NB*(Table3D.1_DailyTTS_NB110[[#This Row],[Year]]-2027)))</f>
        <v>1551.0266981481482</v>
      </c>
      <c r="H34" s="431" cm="1">
        <f t="array" ref="H34">IF(Table3D.1_DailyTTS_NB110[[#This Row],[Year]]=Closeout,AvgDelay_27NB,AvgDelay_27NB+(DelayChange_NB*(Table3D.1_DailyTTS_NB110[[#This Row],[Year]]-2027)))</f>
        <v>2.6749938271604937E-2</v>
      </c>
    </row>
    <row r="35" spans="2:8">
      <c r="B35" s="122">
        <f>First_Year+'Q_Appendix B. Project Info'!B45</f>
        <v>2048</v>
      </c>
      <c r="C35" s="432" cm="1">
        <f t="array" ref="C35">IF(Table3D.1_DailyTTS_NB110[[#This Row],[Year]]=Closeout,Traffic_27NB,Traffic_27NB+(TrafChange_NB*(Table3D.1_DailyTTS_NB110[[#This Row],[Year]]-2027)))</f>
        <v>77017.3</v>
      </c>
      <c r="D35" s="415" cm="1">
        <f t="array" ref="D35">IF(Table3D.1_DailyTTS_NB110[[#This Row],[Year]]=Closeout,VMT_27NB,VMT_27NB+(VMTChange_NB*(Table3D.1_DailyTTS_NB110[[#This Row],[Year]]-2027)))</f>
        <v>99789.495999999999</v>
      </c>
      <c r="E35" s="415" cm="1">
        <f t="array" ref="E35">IF(Table3D.1_DailyTTS_NB110[[#This Row],[Year]]=Closeout,VHT_27NB,VHT_27NB+(VHTChange_NB*(Table3D.1_DailyTTS_NB110[[#This Row],[Year]]-2027)))</f>
        <v>4030.5719983333338</v>
      </c>
      <c r="F35" s="415" cm="1">
        <f t="array" ref="F35">IF(Table3D.1_DailyTTS_NB110[[#This Row],[Year]]=Closeout,MPH_27NB,MPH_27NB+(MPHChange_NB*(Table3D.1_DailyTTS_NB110[[#This Row],[Year]]-2027)))</f>
        <v>31.254533333333331</v>
      </c>
      <c r="G35" s="415" cm="1">
        <f t="array" ref="G35">IF(Table3D.1_DailyTTS_NB110[[#This Row],[Year]]=Closeout,DelayTot_27NB,DelayTot_27NB+(DelayTotChange_NB*(Table3D.1_DailyTTS_NB110[[#This Row],[Year]]-2027)))</f>
        <v>1557.0550241666667</v>
      </c>
      <c r="H35" s="431" cm="1">
        <f t="array" ref="H35">IF(Table3D.1_DailyTTS_NB110[[#This Row],[Year]]=Closeout,AvgDelay_27NB,AvgDelay_27NB+(DelayChange_NB*(Table3D.1_DailyTTS_NB110[[#This Row],[Year]]-2027)))</f>
        <v>2.6751666666666667E-2</v>
      </c>
    </row>
    <row r="36" spans="2:8">
      <c r="B36" s="122">
        <f>First_Year+'Q_Appendix B. Project Info'!B46</f>
        <v>2049</v>
      </c>
      <c r="C36" s="432" cm="1">
        <f t="array" ref="C36">IF(Table3D.1_DailyTTS_NB110[[#This Row],[Year]]=Closeout,Traffic_27NB,Traffic_27NB+(TrafChange_NB*(Table3D.1_DailyTTS_NB110[[#This Row],[Year]]-2027)))</f>
        <v>77415.266666666663</v>
      </c>
      <c r="D36" s="415" cm="1">
        <f t="array" ref="D36">IF(Table3D.1_DailyTTS_NB110[[#This Row],[Year]]=Closeout,VMT_27NB,VMT_27NB+(VMTChange_NB*(Table3D.1_DailyTTS_NB110[[#This Row],[Year]]-2027)))</f>
        <v>100368.492</v>
      </c>
      <c r="E36" s="415" cm="1">
        <f t="array" ref="E36">IF(Table3D.1_DailyTTS_NB110[[#This Row],[Year]]=Closeout,VHT_27NB,VHT_27NB+(VHTChange_NB*(Table3D.1_DailyTTS_NB110[[#This Row],[Year]]-2027)))</f>
        <v>4049.7681337037038</v>
      </c>
      <c r="F36" s="415" cm="1">
        <f t="array" ref="F36">IF(Table3D.1_DailyTTS_NB110[[#This Row],[Year]]=Closeout,MPH_27NB,MPH_27NB+(MPHChange_NB*(Table3D.1_DailyTTS_NB110[[#This Row],[Year]]-2027)))</f>
        <v>31.264844444444442</v>
      </c>
      <c r="G36" s="415" cm="1">
        <f t="array" ref="G36">IF(Table3D.1_DailyTTS_NB110[[#This Row],[Year]]=Closeout,DelayTot_27NB,DelayTot_27NB+(DelayTotChange_NB*(Table3D.1_DailyTTS_NB110[[#This Row],[Year]]-2027)))</f>
        <v>1563.0833501851853</v>
      </c>
      <c r="H36" s="431" cm="1">
        <f t="array" ref="H36">IF(Table3D.1_DailyTTS_NB110[[#This Row],[Year]]=Closeout,AvgDelay_27NB,AvgDelay_27NB+(DelayChange_NB*(Table3D.1_DailyTTS_NB110[[#This Row],[Year]]-2027)))</f>
        <v>2.6753395061728392E-2</v>
      </c>
    </row>
    <row r="37" spans="2:8">
      <c r="B37" s="122">
        <f>First_Year+'Q_Appendix B. Project Info'!B47</f>
        <v>2050</v>
      </c>
      <c r="C37" s="432" cm="1">
        <f t="array" ref="C37">IF(Table3D.1_DailyTTS_NB110[[#This Row],[Year]]=Closeout,Traffic_27NB,Traffic_27NB+(TrafChange_NB*(Table3D.1_DailyTTS_NB110[[#This Row],[Year]]-2027)))</f>
        <v>77813.233333333337</v>
      </c>
      <c r="D37" s="415" cm="1">
        <f t="array" ref="D37">IF(Table3D.1_DailyTTS_NB110[[#This Row],[Year]]=Closeout,VMT_27NB,VMT_27NB+(VMTChange_NB*(Table3D.1_DailyTTS_NB110[[#This Row],[Year]]-2027)))</f>
        <v>100947.488</v>
      </c>
      <c r="E37" s="415" cm="1">
        <f t="array" ref="E37">IF(Table3D.1_DailyTTS_NB110[[#This Row],[Year]]=Closeout,VHT_27NB,VHT_27NB+(VHTChange_NB*(Table3D.1_DailyTTS_NB110[[#This Row],[Year]]-2027)))</f>
        <v>4068.9642690740743</v>
      </c>
      <c r="F37" s="415" cm="1">
        <f t="array" ref="F37">IF(Table3D.1_DailyTTS_NB110[[#This Row],[Year]]=Closeout,MPH_27NB,MPH_27NB+(MPHChange_NB*(Table3D.1_DailyTTS_NB110[[#This Row],[Year]]-2027)))</f>
        <v>31.275155555555553</v>
      </c>
      <c r="G37" s="415" cm="1">
        <f t="array" ref="G37">IF(Table3D.1_DailyTTS_NB110[[#This Row],[Year]]=Closeout,DelayTot_27NB,DelayTot_27NB+(DelayTotChange_NB*(Table3D.1_DailyTTS_NB110[[#This Row],[Year]]-2027)))</f>
        <v>1569.1116762037038</v>
      </c>
      <c r="H37" s="431" cm="1">
        <f t="array" ref="H37">IF(Table3D.1_DailyTTS_NB110[[#This Row],[Year]]=Closeout,AvgDelay_27NB,AvgDelay_27NB+(DelayChange_NB*(Table3D.1_DailyTTS_NB110[[#This Row],[Year]]-2027)))</f>
        <v>2.6755123456790122E-2</v>
      </c>
    </row>
    <row r="38" spans="2:8">
      <c r="B38" s="122">
        <f>First_Year+'Q_Appendix B. Project Info'!B48</f>
        <v>2051</v>
      </c>
      <c r="C38" s="432" cm="1">
        <f t="array" ref="C38">IF(Table3D.1_DailyTTS_NB110[[#This Row],[Year]]=Closeout,Traffic_27NB,Traffic_27NB+(TrafChange_NB*(Table3D.1_DailyTTS_NB110[[#This Row],[Year]]-2027)))</f>
        <v>78211.199999999997</v>
      </c>
      <c r="D38" s="415" cm="1">
        <f t="array" ref="D38">IF(Table3D.1_DailyTTS_NB110[[#This Row],[Year]]=Closeout,VMT_27NB,VMT_27NB+(VMTChange_NB*(Table3D.1_DailyTTS_NB110[[#This Row],[Year]]-2027)))</f>
        <v>101526.484</v>
      </c>
      <c r="E38" s="415" cm="1">
        <f t="array" ref="E38">IF(Table3D.1_DailyTTS_NB110[[#This Row],[Year]]=Closeout,VHT_27NB,VHT_27NB+(VHTChange_NB*(Table3D.1_DailyTTS_NB110[[#This Row],[Year]]-2027)))</f>
        <v>4088.1604044444448</v>
      </c>
      <c r="F38" s="415" cm="1">
        <f t="array" ref="F38">IF(Table3D.1_DailyTTS_NB110[[#This Row],[Year]]=Closeout,MPH_27NB,MPH_27NB+(MPHChange_NB*(Table3D.1_DailyTTS_NB110[[#This Row],[Year]]-2027)))</f>
        <v>31.285466666666665</v>
      </c>
      <c r="G38" s="415" cm="1">
        <f t="array" ref="G38">IF(Table3D.1_DailyTTS_NB110[[#This Row],[Year]]=Closeout,DelayTot_27NB,DelayTot_27NB+(DelayTotChange_NB*(Table3D.1_DailyTTS_NB110[[#This Row],[Year]]-2027)))</f>
        <v>1575.1400022222224</v>
      </c>
      <c r="H38" s="431" cm="1">
        <f t="array" ref="H38">IF(Table3D.1_DailyTTS_NB110[[#This Row],[Year]]=Closeout,AvgDelay_27NB,AvgDelay_27NB+(DelayChange_NB*(Table3D.1_DailyTTS_NB110[[#This Row],[Year]]-2027)))</f>
        <v>2.6756851851851851E-2</v>
      </c>
    </row>
    <row r="39" spans="2:8">
      <c r="B39" s="122">
        <f>First_Year+'Q_Appendix B. Project Info'!B49</f>
        <v>2052</v>
      </c>
      <c r="C39" s="432" cm="1">
        <f t="array" ref="C39">IF(Table3D.1_DailyTTS_NB110[[#This Row],[Year]]=Closeout,Traffic_27NB,Traffic_27NB+(TrafChange_NB*(Table3D.1_DailyTTS_NB110[[#This Row],[Year]]-2027)))</f>
        <v>78609.166666666672</v>
      </c>
      <c r="D39" s="415" cm="1">
        <f t="array" ref="D39">IF(Table3D.1_DailyTTS_NB110[[#This Row],[Year]]=Closeout,VMT_27NB,VMT_27NB+(VMTChange_NB*(Table3D.1_DailyTTS_NB110[[#This Row],[Year]]-2027)))</f>
        <v>102105.48</v>
      </c>
      <c r="E39" s="415" cm="1">
        <f t="array" ref="E39">IF(Table3D.1_DailyTTS_NB110[[#This Row],[Year]]=Closeout,VHT_27NB,VHT_27NB+(VHTChange_NB*(Table3D.1_DailyTTS_NB110[[#This Row],[Year]]-2027)))</f>
        <v>4107.3565398148148</v>
      </c>
      <c r="F39" s="415" cm="1">
        <f t="array" ref="F39">IF(Table3D.1_DailyTTS_NB110[[#This Row],[Year]]=Closeout,MPH_27NB,MPH_27NB+(MPHChange_NB*(Table3D.1_DailyTTS_NB110[[#This Row],[Year]]-2027)))</f>
        <v>31.295777777777776</v>
      </c>
      <c r="G39" s="415" cm="1">
        <f t="array" ref="G39">IF(Table3D.1_DailyTTS_NB110[[#This Row],[Year]]=Closeout,DelayTot_27NB,DelayTot_27NB+(DelayTotChange_NB*(Table3D.1_DailyTTS_NB110[[#This Row],[Year]]-2027)))</f>
        <v>1581.1683282407409</v>
      </c>
      <c r="H39" s="431" cm="1">
        <f t="array" ref="H39">IF(Table3D.1_DailyTTS_NB110[[#This Row],[Year]]=Closeout,AvgDelay_27NB,AvgDelay_27NB+(DelayChange_NB*(Table3D.1_DailyTTS_NB110[[#This Row],[Year]]-2027)))</f>
        <v>2.6758580246913577E-2</v>
      </c>
    </row>
    <row r="40" spans="2:8">
      <c r="B40" s="122">
        <f>First_Year+'Q_Appendix B. Project Info'!B50</f>
        <v>2053</v>
      </c>
      <c r="C40" s="432" cm="1">
        <f t="array" ref="C40">IF(Table3D.1_DailyTTS_NB110[[#This Row],[Year]]=Closeout,Traffic_27NB,Traffic_27NB+(TrafChange_NB*(Table3D.1_DailyTTS_NB110[[#This Row],[Year]]-2027)))</f>
        <v>79007.133333333331</v>
      </c>
      <c r="D40" s="415" cm="1">
        <f t="array" ref="D40">IF(Table3D.1_DailyTTS_NB110[[#This Row],[Year]]=Closeout,VMT_27NB,VMT_27NB+(VMTChange_NB*(Table3D.1_DailyTTS_NB110[[#This Row],[Year]]-2027)))</f>
        <v>102684.476</v>
      </c>
      <c r="E40" s="415" cm="1">
        <f t="array" ref="E40">IF(Table3D.1_DailyTTS_NB110[[#This Row],[Year]]=Closeout,VHT_27NB,VHT_27NB+(VHTChange_NB*(Table3D.1_DailyTTS_NB110[[#This Row],[Year]]-2027)))</f>
        <v>4126.5526751851858</v>
      </c>
      <c r="F40" s="415" cm="1">
        <f t="array" ref="F40">IF(Table3D.1_DailyTTS_NB110[[#This Row],[Year]]=Closeout,MPH_27NB,MPH_27NB+(MPHChange_NB*(Table3D.1_DailyTTS_NB110[[#This Row],[Year]]-2027)))</f>
        <v>31.306088888888887</v>
      </c>
      <c r="G40" s="415" cm="1">
        <f t="array" ref="G40">IF(Table3D.1_DailyTTS_NB110[[#This Row],[Year]]=Closeout,DelayTot_27NB,DelayTot_27NB+(DelayTotChange_NB*(Table3D.1_DailyTTS_NB110[[#This Row],[Year]]-2027)))</f>
        <v>1587.1966542592595</v>
      </c>
      <c r="H40" s="431" cm="1">
        <f t="array" ref="H40">IF(Table3D.1_DailyTTS_NB110[[#This Row],[Year]]=Closeout,AvgDelay_27NB,AvgDelay_27NB+(DelayChange_NB*(Table3D.1_DailyTTS_NB110[[#This Row],[Year]]-2027)))</f>
        <v>2.6760308641975306E-2</v>
      </c>
    </row>
    <row r="41" spans="2:8">
      <c r="B41" s="122">
        <f>First_Year+'Q_Appendix B. Project Info'!B51</f>
        <v>2054</v>
      </c>
      <c r="C41" s="432" cm="1">
        <f t="array" ref="C41">IF(Table3D.1_DailyTTS_NB110[[#This Row],[Year]]=Closeout,Traffic_27NB,Traffic_27NB+(TrafChange_NB*(Table3D.1_DailyTTS_NB110[[#This Row],[Year]]-2027)))</f>
        <v>79405.100000000006</v>
      </c>
      <c r="D41" s="415" cm="1">
        <f t="array" ref="D41">IF(Table3D.1_DailyTTS_NB110[[#This Row],[Year]]=Closeout,VMT_27NB,VMT_27NB+(VMTChange_NB*(Table3D.1_DailyTTS_NB110[[#This Row],[Year]]-2027)))</f>
        <v>103263.47199999999</v>
      </c>
      <c r="E41" s="415" cm="1">
        <f t="array" ref="E41">IF(Table3D.1_DailyTTS_NB110[[#This Row],[Year]]=Closeout,VHT_27NB,VHT_27NB+(VHTChange_NB*(Table3D.1_DailyTTS_NB110[[#This Row],[Year]]-2027)))</f>
        <v>4145.7488105555558</v>
      </c>
      <c r="F41" s="415" cm="1">
        <f t="array" ref="F41">IF(Table3D.1_DailyTTS_NB110[[#This Row],[Year]]=Closeout,MPH_27NB,MPH_27NB+(MPHChange_NB*(Table3D.1_DailyTTS_NB110[[#This Row],[Year]]-2027)))</f>
        <v>31.316399999999998</v>
      </c>
      <c r="G41" s="415" cm="1">
        <f t="array" ref="G41">IF(Table3D.1_DailyTTS_NB110[[#This Row],[Year]]=Closeout,DelayTot_27NB,DelayTot_27NB+(DelayTotChange_NB*(Table3D.1_DailyTTS_NB110[[#This Row],[Year]]-2027)))</f>
        <v>1593.2249802777778</v>
      </c>
      <c r="H41" s="431" cm="1">
        <f t="array" ref="H41">IF(Table3D.1_DailyTTS_NB110[[#This Row],[Year]]=Closeout,AvgDelay_27NB,AvgDelay_27NB+(DelayChange_NB*(Table3D.1_DailyTTS_NB110[[#This Row],[Year]]-2027)))</f>
        <v>2.6762037037037036E-2</v>
      </c>
    </row>
    <row r="42" spans="2:8">
      <c r="B42" s="122">
        <f>First_Year+'Q_Appendix B. Project Info'!B52</f>
        <v>2055</v>
      </c>
      <c r="C42" s="432" cm="1">
        <f t="array" ref="C42">IF(Table3D.1_DailyTTS_NB110[[#This Row],[Year]]=Closeout,Traffic_27NB,Traffic_27NB+(TrafChange_NB*(Table3D.1_DailyTTS_NB110[[#This Row],[Year]]-2027)))</f>
        <v>79803.066666666666</v>
      </c>
      <c r="D42" s="415" cm="1">
        <f t="array" ref="D42">IF(Table3D.1_DailyTTS_NB110[[#This Row],[Year]]=Closeout,VMT_27NB,VMT_27NB+(VMTChange_NB*(Table3D.1_DailyTTS_NB110[[#This Row],[Year]]-2027)))</f>
        <v>103842.46799999999</v>
      </c>
      <c r="E42" s="415" cm="1">
        <f t="array" ref="E42">IF(Table3D.1_DailyTTS_NB110[[#This Row],[Year]]=Closeout,VHT_27NB,VHT_27NB+(VHTChange_NB*(Table3D.1_DailyTTS_NB110[[#This Row],[Year]]-2027)))</f>
        <v>4164.9449459259258</v>
      </c>
      <c r="F42" s="415" cm="1">
        <f t="array" ref="F42">IF(Table3D.1_DailyTTS_NB110[[#This Row],[Year]]=Closeout,MPH_27NB,MPH_27NB+(MPHChange_NB*(Table3D.1_DailyTTS_NB110[[#This Row],[Year]]-2027)))</f>
        <v>31.326711111111109</v>
      </c>
      <c r="G42" s="415" cm="1">
        <f t="array" ref="G42">IF(Table3D.1_DailyTTS_NB110[[#This Row],[Year]]=Closeout,DelayTot_27NB,DelayTot_27NB+(DelayTotChange_NB*(Table3D.1_DailyTTS_NB110[[#This Row],[Year]]-2027)))</f>
        <v>1599.2533062962964</v>
      </c>
      <c r="H42" s="431" cm="1">
        <f t="array" ref="H42">IF(Table3D.1_DailyTTS_NB110[[#This Row],[Year]]=Closeout,AvgDelay_27NB,AvgDelay_27NB+(DelayChange_NB*(Table3D.1_DailyTTS_NB110[[#This Row],[Year]]-2027)))</f>
        <v>2.6763765432098765E-2</v>
      </c>
    </row>
    <row r="43" spans="2:8">
      <c r="B43" s="122">
        <f>First_Year+'Q_Appendix B. Project Info'!B53</f>
        <v>2056</v>
      </c>
      <c r="C43" s="432" cm="1">
        <f t="array" ref="C43">IF(Table3D.1_DailyTTS_NB110[[#This Row],[Year]]=Closeout,Traffic_27NB,Traffic_27NB+(TrafChange_NB*(Table3D.1_DailyTTS_NB110[[#This Row],[Year]]-2027)))</f>
        <v>80201.033333333326</v>
      </c>
      <c r="D43" s="415" cm="1">
        <f t="array" ref="D43">IF(Table3D.1_DailyTTS_NB110[[#This Row],[Year]]=Closeout,VMT_27NB,VMT_27NB+(VMTChange_NB*(Table3D.1_DailyTTS_NB110[[#This Row],[Year]]-2027)))</f>
        <v>104421.46399999999</v>
      </c>
      <c r="E43" s="415" cm="1">
        <f t="array" ref="E43">IF(Table3D.1_DailyTTS_NB110[[#This Row],[Year]]=Closeout,VHT_27NB,VHT_27NB+(VHTChange_NB*(Table3D.1_DailyTTS_NB110[[#This Row],[Year]]-2027)))</f>
        <v>4184.1410812962968</v>
      </c>
      <c r="F43" s="415" cm="1">
        <f t="array" ref="F43">IF(Table3D.1_DailyTTS_NB110[[#This Row],[Year]]=Closeout,MPH_27NB,MPH_27NB+(MPHChange_NB*(Table3D.1_DailyTTS_NB110[[#This Row],[Year]]-2027)))</f>
        <v>31.33702222222222</v>
      </c>
      <c r="G43" s="415" cm="1">
        <f t="array" ref="G43">IF(Table3D.1_DailyTTS_NB110[[#This Row],[Year]]=Closeout,DelayTot_27NB,DelayTot_27NB+(DelayTotChange_NB*(Table3D.1_DailyTTS_NB110[[#This Row],[Year]]-2027)))</f>
        <v>1605.2816323148149</v>
      </c>
      <c r="H43" s="431" cm="1">
        <f t="array" ref="H43">IF(Table3D.1_DailyTTS_NB110[[#This Row],[Year]]=Closeout,AvgDelay_27NB,AvgDelay_27NB+(DelayChange_NB*(Table3D.1_DailyTTS_NB110[[#This Row],[Year]]-2027)))</f>
        <v>2.6765493827160491E-2</v>
      </c>
    </row>
    <row r="44" spans="2:8">
      <c r="B44" s="122">
        <f>First_Year+'Q_Appendix B. Project Info'!B54</f>
        <v>2057</v>
      </c>
      <c r="C44" s="432" cm="1">
        <f t="array" ref="C44">IF(Table3D.1_DailyTTS_NB110[[#This Row],[Year]]=Closeout,Traffic_27NB,Traffic_27NB+(TrafChange_NB*(Table3D.1_DailyTTS_NB110[[#This Row],[Year]]-2027)))</f>
        <v>80599</v>
      </c>
      <c r="D44" s="415" cm="1">
        <f t="array" ref="D44">IF(Table3D.1_DailyTTS_NB110[[#This Row],[Year]]=Closeout,VMT_27NB,VMT_27NB+(VMTChange_NB*(Table3D.1_DailyTTS_NB110[[#This Row],[Year]]-2027)))</f>
        <v>105000.45999999999</v>
      </c>
      <c r="E44" s="415" cm="1">
        <f t="array" ref="E44">IF(Table3D.1_DailyTTS_NB110[[#This Row],[Year]]=Closeout,VHT_27NB,VHT_27NB+(VHTChange_NB*(Table3D.1_DailyTTS_NB110[[#This Row],[Year]]-2027)))</f>
        <v>4203.3372166666668</v>
      </c>
      <c r="F44" s="415" cm="1">
        <f t="array" ref="F44">IF(Table3D.1_DailyTTS_NB110[[#This Row],[Year]]=Closeout,MPH_27NB,MPH_27NB+(MPHChange_NB*(Table3D.1_DailyTTS_NB110[[#This Row],[Year]]-2027)))</f>
        <v>31.347333333333331</v>
      </c>
      <c r="G44" s="415" cm="1">
        <f t="array" ref="G44">IF(Table3D.1_DailyTTS_NB110[[#This Row],[Year]]=Closeout,DelayTot_27NB,DelayTot_27NB+(DelayTotChange_NB*(Table3D.1_DailyTTS_NB110[[#This Row],[Year]]-2027)))</f>
        <v>1611.3099583333335</v>
      </c>
      <c r="H44" s="431" cm="1">
        <f t="array" ref="H44">IF(Table3D.1_DailyTTS_NB110[[#This Row],[Year]]=Closeout,AvgDelay_27NB,AvgDelay_27NB+(DelayChange_NB*(Table3D.1_DailyTTS_NB110[[#This Row],[Year]]-2027)))</f>
        <v>2.676722222222222E-2</v>
      </c>
    </row>
    <row r="45" spans="2:8">
      <c r="B45" s="122">
        <f>First_Year+'Q_Appendix B. Project Info'!B55</f>
        <v>2058</v>
      </c>
      <c r="C45" s="432" cm="1">
        <f t="array" ref="C45">IF(Table3D.1_DailyTTS_NB110[[#This Row],[Year]]=Closeout,Traffic_27NB,Traffic_27NB+(TrafChange_NB*(Table3D.1_DailyTTS_NB110[[#This Row],[Year]]-2027)))</f>
        <v>80996.96666666666</v>
      </c>
      <c r="D45" s="415" cm="1">
        <f t="array" ref="D45">IF(Table3D.1_DailyTTS_NB110[[#This Row],[Year]]=Closeout,VMT_27NB,VMT_27NB+(VMTChange_NB*(Table3D.1_DailyTTS_NB110[[#This Row],[Year]]-2027)))</f>
        <v>105579.45599999999</v>
      </c>
      <c r="E45" s="415" cm="1">
        <f t="array" ref="E45">IF(Table3D.1_DailyTTS_NB110[[#This Row],[Year]]=Closeout,VHT_27NB,VHT_27NB+(VHTChange_NB*(Table3D.1_DailyTTS_NB110[[#This Row],[Year]]-2027)))</f>
        <v>4222.5333520370368</v>
      </c>
      <c r="F45" s="415" cm="1">
        <f t="array" ref="F45">IF(Table3D.1_DailyTTS_NB110[[#This Row],[Year]]=Closeout,MPH_27NB,MPH_27NB+(MPHChange_NB*(Table3D.1_DailyTTS_NB110[[#This Row],[Year]]-2027)))</f>
        <v>31.357644444444443</v>
      </c>
      <c r="G45" s="415" cm="1">
        <f t="array" ref="G45">IF(Table3D.1_DailyTTS_NB110[[#This Row],[Year]]=Closeout,DelayTot_27NB,DelayTot_27NB+(DelayTotChange_NB*(Table3D.1_DailyTTS_NB110[[#This Row],[Year]]-2027)))</f>
        <v>1617.3382843518521</v>
      </c>
      <c r="H45" s="431" cm="1">
        <f t="array" ref="H45">IF(Table3D.1_DailyTTS_NB110[[#This Row],[Year]]=Closeout,AvgDelay_27NB,AvgDelay_27NB+(DelayChange_NB*(Table3D.1_DailyTTS_NB110[[#This Row],[Year]]-2027)))</f>
        <v>2.6768950617283949E-2</v>
      </c>
    </row>
    <row r="46" spans="2:8">
      <c r="B46" s="81" t="s">
        <v>127</v>
      </c>
      <c r="C46" s="174">
        <f>SUBTOTAL(101,Table3D.1_DailyTTS_NB110[Total Traffic in Network (Veh/Day)])</f>
        <v>74032.55</v>
      </c>
      <c r="D46" s="153">
        <f>SUBTOTAL(101,Table3D.1_DailyTTS_NB110[Vehicle Miles Traveled (VMT/Day)])</f>
        <v>95447.025999999998</v>
      </c>
      <c r="E46" s="153">
        <f>SUBTOTAL(101,Table3D.1_DailyTTS_NB110[Vehicle Hours Traveled (VHT/Day)])</f>
        <v>3886.6009830555558</v>
      </c>
      <c r="F46" s="153">
        <f>SUBTOTAL(101,Table3D.1_DailyTTS_NB110[Average Speed (MPH)])</f>
        <v>31.177200000000003</v>
      </c>
      <c r="G46" s="153">
        <f>SUBTOTAL(101,Table3D.1_DailyTTS_NB110[Total Delay (hrs/day)])</f>
        <v>1511.8425790277781</v>
      </c>
      <c r="H46" s="173">
        <f>SUBTOTAL(101,Table3D.1_DailyTTS_NB110[Average Delay (Hrs/Veh/Day)])</f>
        <v>2.6738703703703705E-2</v>
      </c>
    </row>
    <row r="48" spans="2:8">
      <c r="B48" s="71" t="s">
        <v>221</v>
      </c>
    </row>
    <row r="49" spans="2:8">
      <c r="B49" s="71"/>
      <c r="C49" s="71"/>
      <c r="D49" s="71"/>
      <c r="E49" s="71"/>
      <c r="F49" s="71"/>
      <c r="G49" s="71"/>
      <c r="H49" s="71"/>
    </row>
    <row r="50" spans="2:8" ht="25.5">
      <c r="B50" s="122" t="s">
        <v>21</v>
      </c>
      <c r="C50" s="122" t="s">
        <v>153</v>
      </c>
      <c r="D50" s="122" t="s">
        <v>154</v>
      </c>
      <c r="E50" s="122" t="s">
        <v>155</v>
      </c>
      <c r="F50" s="122" t="s">
        <v>156</v>
      </c>
      <c r="G50" s="122" t="s">
        <v>220</v>
      </c>
      <c r="H50" s="122" t="s">
        <v>157</v>
      </c>
    </row>
    <row r="51" spans="2:8">
      <c r="B51" s="122">
        <f>First_Year+'Q_Appendix B. Project Info'!B20</f>
        <v>2023</v>
      </c>
      <c r="C51" s="432" cm="1">
        <f t="array" ref="C51">IF(Table3D.2_DailyTTS_PA111[[#This Row],[Year]]=Closeout,Traffic_27PA,Traffic_27PA+(TrafChange_PA*(Table3D.2_DailyTTS_PA111[[#This Row],[Year]]-2027)))</f>
        <v>67440.333333333328</v>
      </c>
      <c r="D51" s="415" cm="1">
        <f t="array" ref="D51">IF(Table3D.2_DailyTTS_PA111[[#This Row],[Year]]=Closeout,VMT_27PA,VMT_27PA+(VMTChange_PA*(Table3D.2_DailyTTS_PA111[[#This Row],[Year]]-2027)))</f>
        <v>87952.342666666649</v>
      </c>
      <c r="E51" s="415" cm="1">
        <f t="array" ref="E51">IF(Table3D.2_DailyTTS_PA111[[#This Row],[Year]]=Closeout,VHT_27PA,VHT_27PA+(VHTChange_PA*(Table3D.2_DailyTTS_PA111[[#This Row],[Year]]-2027)))</f>
        <v>2477.24411037037</v>
      </c>
      <c r="F51" s="415" cm="1">
        <f t="array" ref="F51">IF(Table3D.2_DailyTTS_PA111[[#This Row],[Year]]=Closeout,MPH_27PA,MPH_27PA+(MPHChange_PA*(Table3D.2_DailyTTS_PA111[[#This Row],[Year]]-2027)))</f>
        <v>35.760444444444445</v>
      </c>
      <c r="G51" s="415" cm="1">
        <f t="array" ref="G51">IF(Table3D.2_DailyTTS_PA111[[#This Row],[Year]]=Closeout,DelayTot_27PA,DelayTot_27PA+(DelayTotChange_PA*(Table3D.2_DailyTTS_PA111[[#This Row],[Year]]-2027)))</f>
        <v>403.03512296296287</v>
      </c>
      <c r="H51" s="431" cm="1">
        <f t="array" ref="H51">IF(Table3D.2_DailyTTS_PA111[[#This Row],[Year]]=Closeout,AvgDelay_27PA,AvgDelay_27PA+(DelayChange_PA*(Table3D.2_DailyTTS_PA111[[#This Row],[Year]]-2027)))</f>
        <v>5.6461111111111113E-3</v>
      </c>
    </row>
    <row r="52" spans="2:8">
      <c r="B52" s="122">
        <f>First_Year+'Q_Appendix B. Project Info'!B21</f>
        <v>2024</v>
      </c>
      <c r="C52" s="432" cm="1">
        <f t="array" ref="C52">IF(Table3D.2_DailyTTS_PA111[[#This Row],[Year]]=Closeout,Traffic_27PA,Traffic_27PA+(TrafChange_PA*(Table3D.2_DailyTTS_PA111[[#This Row],[Year]]-2027)))</f>
        <v>67888</v>
      </c>
      <c r="D52" s="415" cm="1">
        <f t="array" ref="D52">IF(Table3D.2_DailyTTS_PA111[[#This Row],[Year]]=Closeout,VMT_27PA,VMT_27PA+(VMTChange_PA*(Table3D.2_DailyTTS_PA111[[#This Row],[Year]]-2027)))</f>
        <v>88592.191999999995</v>
      </c>
      <c r="E52" s="415" cm="1">
        <f t="array" ref="E52">IF(Table3D.2_DailyTTS_PA111[[#This Row],[Year]]=Closeout,VHT_27PA,VHT_27PA+(VHTChange_PA*(Table3D.2_DailyTTS_PA111[[#This Row],[Year]]-2027)))</f>
        <v>2496.0579536111109</v>
      </c>
      <c r="F52" s="415" cm="1">
        <f t="array" ref="F52">IF(Table3D.2_DailyTTS_PA111[[#This Row],[Year]]=Closeout,MPH_27PA,MPH_27PA+(MPHChange_PA*(Table3D.2_DailyTTS_PA111[[#This Row],[Year]]-2027)))</f>
        <v>35.763666666666666</v>
      </c>
      <c r="G52" s="415" cm="1">
        <f t="array" ref="G52">IF(Table3D.2_DailyTTS_PA111[[#This Row],[Year]]=Closeout,DelayTot_27PA,DelayTot_27PA+(DelayTotChange_PA*(Table3D.2_DailyTTS_PA111[[#This Row],[Year]]-2027)))</f>
        <v>407.90386999999993</v>
      </c>
      <c r="H52" s="431" cm="1">
        <f t="array" ref="H52">IF(Table3D.2_DailyTTS_PA111[[#This Row],[Year]]=Closeout,AvgDelay_27PA,AvgDelay_27PA+(DelayChange_PA*(Table3D.2_DailyTTS_PA111[[#This Row],[Year]]-2027)))</f>
        <v>5.6587962962962972E-3</v>
      </c>
    </row>
    <row r="53" spans="2:8">
      <c r="B53" s="122">
        <f>First_Year+'Q_Appendix B. Project Info'!B22</f>
        <v>2025</v>
      </c>
      <c r="C53" s="432" cm="1">
        <f t="array" ref="C53">IF(Table3D.2_DailyTTS_PA111[[#This Row],[Year]]=Closeout,Traffic_27PA,Traffic_27PA+(TrafChange_PA*(Table3D.2_DailyTTS_PA111[[#This Row],[Year]]-2027)))</f>
        <v>68335.666666666672</v>
      </c>
      <c r="D53" s="415" cm="1">
        <f t="array" ref="D53">IF(Table3D.2_DailyTTS_PA111[[#This Row],[Year]]=Closeout,VMT_27PA,VMT_27PA+(VMTChange_PA*(Table3D.2_DailyTTS_PA111[[#This Row],[Year]]-2027)))</f>
        <v>89232.041333333327</v>
      </c>
      <c r="E53" s="415" cm="1">
        <f t="array" ref="E53">IF(Table3D.2_DailyTTS_PA111[[#This Row],[Year]]=Closeout,VHT_27PA,VHT_27PA+(VHTChange_PA*(Table3D.2_DailyTTS_PA111[[#This Row],[Year]]-2027)))</f>
        <v>2514.8717968518517</v>
      </c>
      <c r="F53" s="415" cm="1">
        <f t="array" ref="F53">IF(Table3D.2_DailyTTS_PA111[[#This Row],[Year]]=Closeout,MPH_27PA,MPH_27PA+(MPHChange_PA*(Table3D.2_DailyTTS_PA111[[#This Row],[Year]]-2027)))</f>
        <v>35.766888888888886</v>
      </c>
      <c r="G53" s="415" cm="1">
        <f t="array" ref="G53">IF(Table3D.2_DailyTTS_PA111[[#This Row],[Year]]=Closeout,DelayTot_27PA,DelayTot_27PA+(DelayTotChange_PA*(Table3D.2_DailyTTS_PA111[[#This Row],[Year]]-2027)))</f>
        <v>412.77261703703692</v>
      </c>
      <c r="H53" s="431" cm="1">
        <f t="array" ref="H53">IF(Table3D.2_DailyTTS_PA111[[#This Row],[Year]]=Closeout,AvgDelay_27PA,AvgDelay_27PA+(DelayChange_PA*(Table3D.2_DailyTTS_PA111[[#This Row],[Year]]-2027)))</f>
        <v>5.6714814814814822E-3</v>
      </c>
    </row>
    <row r="54" spans="2:8">
      <c r="B54" s="122">
        <f>First_Year+'Q_Appendix B. Project Info'!B23</f>
        <v>2026</v>
      </c>
      <c r="C54" s="432" cm="1">
        <f t="array" ref="C54">IF(Table3D.2_DailyTTS_PA111[[#This Row],[Year]]=Closeout,Traffic_27PA,Traffic_27PA+(TrafChange_PA*(Table3D.2_DailyTTS_PA111[[#This Row],[Year]]-2027)))</f>
        <v>68783.333333333328</v>
      </c>
      <c r="D54" s="415" cm="1">
        <f t="array" ref="D54">IF(Table3D.2_DailyTTS_PA111[[#This Row],[Year]]=Closeout,VMT_27PA,VMT_27PA+(VMTChange_PA*(Table3D.2_DailyTTS_PA111[[#This Row],[Year]]-2027)))</f>
        <v>89871.890666666659</v>
      </c>
      <c r="E54" s="415" cm="1">
        <f t="array" ref="E54">IF(Table3D.2_DailyTTS_PA111[[#This Row],[Year]]=Closeout,VHT_27PA,VHT_27PA+(VHTChange_PA*(Table3D.2_DailyTTS_PA111[[#This Row],[Year]]-2027)))</f>
        <v>2533.6856400925922</v>
      </c>
      <c r="F54" s="415" cm="1">
        <f t="array" ref="F54">IF(Table3D.2_DailyTTS_PA111[[#This Row],[Year]]=Closeout,MPH_27PA,MPH_27PA+(MPHChange_PA*(Table3D.2_DailyTTS_PA111[[#This Row],[Year]]-2027)))</f>
        <v>35.770111111111113</v>
      </c>
      <c r="G54" s="415" cm="1">
        <f t="array" ref="G54">IF(Table3D.2_DailyTTS_PA111[[#This Row],[Year]]=Closeout,DelayTot_27PA,DelayTot_27PA+(DelayTotChange_PA*(Table3D.2_DailyTTS_PA111[[#This Row],[Year]]-2027)))</f>
        <v>417.64136407407398</v>
      </c>
      <c r="H54" s="431" cm="1">
        <f t="array" ref="H54">IF(Table3D.2_DailyTTS_PA111[[#This Row],[Year]]=Closeout,AvgDelay_27PA,AvgDelay_27PA+(DelayChange_PA*(Table3D.2_DailyTTS_PA111[[#This Row],[Year]]-2027)))</f>
        <v>5.6841666666666672E-3</v>
      </c>
    </row>
    <row r="55" spans="2:8">
      <c r="B55" s="122">
        <f>First_Year+'Q_Appendix B. Project Info'!B24</f>
        <v>2027</v>
      </c>
      <c r="C55" s="432" cm="1">
        <f t="array" ref="C55">IF(Table3D.2_DailyTTS_PA111[[#This Row],[Year]]=Closeout,Traffic_27PA,Traffic_27PA+(TrafChange_PA*(Table3D.2_DailyTTS_PA111[[#This Row],[Year]]-2027)))</f>
        <v>69231</v>
      </c>
      <c r="D55" s="415" cm="1">
        <f t="array" ref="D55">IF(Table3D.2_DailyTTS_PA111[[#This Row],[Year]]=Closeout,VMT_27PA,VMT_27PA+(VMTChange_PA*(Table3D.2_DailyTTS_PA111[[#This Row],[Year]]-2027)))</f>
        <v>90511.739999999991</v>
      </c>
      <c r="E55" s="415" cm="1">
        <f t="array" ref="E55">IF(Table3D.2_DailyTTS_PA111[[#This Row],[Year]]=Closeout,VHT_27PA,VHT_27PA+(VHTChange_PA*(Table3D.2_DailyTTS_PA111[[#This Row],[Year]]-2027)))</f>
        <v>2552.499483333333</v>
      </c>
      <c r="F55" s="415" cm="1">
        <f t="array" ref="F55">IF(Table3D.2_DailyTTS_PA111[[#This Row],[Year]]=Closeout,MPH_27PA,MPH_27PA+(MPHChange_PA*(Table3D.2_DailyTTS_PA111[[#This Row],[Year]]-2027)))</f>
        <v>35.773333333333333</v>
      </c>
      <c r="G55" s="415" cm="1">
        <f t="array" ref="G55">IF(Table3D.2_DailyTTS_PA111[[#This Row],[Year]]=Closeout,DelayTot_27PA,DelayTot_27PA+(DelayTotChange_PA*(Table3D.2_DailyTTS_PA111[[#This Row],[Year]]-2027)))</f>
        <v>422.51011111111103</v>
      </c>
      <c r="H55" s="431" cm="1">
        <f t="array" ref="H55">IF(Table3D.2_DailyTTS_PA111[[#This Row],[Year]]=Closeout,AvgDelay_27PA,AvgDelay_27PA+(DelayChange_PA*(Table3D.2_DailyTTS_PA111[[#This Row],[Year]]-2027)))</f>
        <v>5.6968518518518522E-3</v>
      </c>
    </row>
    <row r="56" spans="2:8">
      <c r="B56" s="122">
        <f>First_Year+'Q_Appendix B. Project Info'!B25</f>
        <v>2028</v>
      </c>
      <c r="C56" s="432" cm="1">
        <f t="array" ref="C56">IF(Table3D.2_DailyTTS_PA111[[#This Row],[Year]]=Closeout,Traffic_27PA,Traffic_27PA+(TrafChange_PA*(Table3D.2_DailyTTS_PA111[[#This Row],[Year]]-2027)))</f>
        <v>69678.666666666672</v>
      </c>
      <c r="D56" s="415" cm="1">
        <f t="array" ref="D56">IF(Table3D.2_DailyTTS_PA111[[#This Row],[Year]]=Closeout,VMT_27PA,VMT_27PA+(VMTChange_PA*(Table3D.2_DailyTTS_PA111[[#This Row],[Year]]-2027)))</f>
        <v>91151.589333333322</v>
      </c>
      <c r="E56" s="415" cm="1">
        <f t="array" ref="E56">IF(Table3D.2_DailyTTS_PA111[[#This Row],[Year]]=Closeout,VHT_27PA,VHT_27PA+(VHTChange_PA*(Table3D.2_DailyTTS_PA111[[#This Row],[Year]]-2027)))</f>
        <v>2571.3133265740739</v>
      </c>
      <c r="F56" s="415" cm="1">
        <f t="array" ref="F56">IF(Table3D.2_DailyTTS_PA111[[#This Row],[Year]]=Closeout,MPH_27PA,MPH_27PA+(MPHChange_PA*(Table3D.2_DailyTTS_PA111[[#This Row],[Year]]-2027)))</f>
        <v>35.776555555555554</v>
      </c>
      <c r="G56" s="415" cm="1">
        <f t="array" ref="G56">IF(Table3D.2_DailyTTS_PA111[[#This Row],[Year]]=Closeout,DelayTot_27PA,DelayTot_27PA+(DelayTotChange_PA*(Table3D.2_DailyTTS_PA111[[#This Row],[Year]]-2027)))</f>
        <v>427.37885814814808</v>
      </c>
      <c r="H56" s="431" cm="1">
        <f t="array" ref="H56">IF(Table3D.2_DailyTTS_PA111[[#This Row],[Year]]=Closeout,AvgDelay_27PA,AvgDelay_27PA+(DelayChange_PA*(Table3D.2_DailyTTS_PA111[[#This Row],[Year]]-2027)))</f>
        <v>5.7095370370370373E-3</v>
      </c>
    </row>
    <row r="57" spans="2:8">
      <c r="B57" s="122">
        <f>First_Year+'Q_Appendix B. Project Info'!B26</f>
        <v>2029</v>
      </c>
      <c r="C57" s="432" cm="1">
        <f t="array" ref="C57">IF(Table3D.2_DailyTTS_PA111[[#This Row],[Year]]=Closeout,Traffic_27PA,Traffic_27PA+(TrafChange_PA*(Table3D.2_DailyTTS_PA111[[#This Row],[Year]]-2027)))</f>
        <v>70126.333333333328</v>
      </c>
      <c r="D57" s="415" cm="1">
        <f t="array" ref="D57">IF(Table3D.2_DailyTTS_PA111[[#This Row],[Year]]=Closeout,VMT_27PA,VMT_27PA+(VMTChange_PA*(Table3D.2_DailyTTS_PA111[[#This Row],[Year]]-2027)))</f>
        <v>91791.438666666654</v>
      </c>
      <c r="E57" s="415" cm="1">
        <f t="array" ref="E57">IF(Table3D.2_DailyTTS_PA111[[#This Row],[Year]]=Closeout,VHT_27PA,VHT_27PA+(VHTChange_PA*(Table3D.2_DailyTTS_PA111[[#This Row],[Year]]-2027)))</f>
        <v>2590.1271698148144</v>
      </c>
      <c r="F57" s="415" cm="1">
        <f t="array" ref="F57">IF(Table3D.2_DailyTTS_PA111[[#This Row],[Year]]=Closeout,MPH_27PA,MPH_27PA+(MPHChange_PA*(Table3D.2_DailyTTS_PA111[[#This Row],[Year]]-2027)))</f>
        <v>35.779777777777781</v>
      </c>
      <c r="G57" s="415" cm="1">
        <f t="array" ref="G57">IF(Table3D.2_DailyTTS_PA111[[#This Row],[Year]]=Closeout,DelayTot_27PA,DelayTot_27PA+(DelayTotChange_PA*(Table3D.2_DailyTTS_PA111[[#This Row],[Year]]-2027)))</f>
        <v>432.24760518518514</v>
      </c>
      <c r="H57" s="431" cm="1">
        <f t="array" ref="H57">IF(Table3D.2_DailyTTS_PA111[[#This Row],[Year]]=Closeout,AvgDelay_27PA,AvgDelay_27PA+(DelayChange_PA*(Table3D.2_DailyTTS_PA111[[#This Row],[Year]]-2027)))</f>
        <v>5.7222222222222223E-3</v>
      </c>
    </row>
    <row r="58" spans="2:8">
      <c r="B58" s="122">
        <f>First_Year+'Q_Appendix B. Project Info'!B27</f>
        <v>2030</v>
      </c>
      <c r="C58" s="432" cm="1">
        <f t="array" ref="C58">IF(Table3D.2_DailyTTS_PA111[[#This Row],[Year]]=Closeout,Traffic_27PA,Traffic_27PA+(TrafChange_PA*(Table3D.2_DailyTTS_PA111[[#This Row],[Year]]-2027)))</f>
        <v>70574</v>
      </c>
      <c r="D58" s="415" cm="1">
        <f t="array" ref="D58">IF(Table3D.2_DailyTTS_PA111[[#This Row],[Year]]=Closeout,VMT_27PA,VMT_27PA+(VMTChange_PA*(Table3D.2_DailyTTS_PA111[[#This Row],[Year]]-2027)))</f>
        <v>92431.287999999986</v>
      </c>
      <c r="E58" s="415" cm="1">
        <f t="array" ref="E58">IF(Table3D.2_DailyTTS_PA111[[#This Row],[Year]]=Closeout,VHT_27PA,VHT_27PA+(VHTChange_PA*(Table3D.2_DailyTTS_PA111[[#This Row],[Year]]-2027)))</f>
        <v>2608.9410130555552</v>
      </c>
      <c r="F58" s="415" cm="1">
        <f t="array" ref="F58">IF(Table3D.2_DailyTTS_PA111[[#This Row],[Year]]=Closeout,MPH_27PA,MPH_27PA+(MPHChange_PA*(Table3D.2_DailyTTS_PA111[[#This Row],[Year]]-2027)))</f>
        <v>35.783000000000001</v>
      </c>
      <c r="G58" s="415" cm="1">
        <f t="array" ref="G58">IF(Table3D.2_DailyTTS_PA111[[#This Row],[Year]]=Closeout,DelayTot_27PA,DelayTot_27PA+(DelayTotChange_PA*(Table3D.2_DailyTTS_PA111[[#This Row],[Year]]-2027)))</f>
        <v>437.11635222222213</v>
      </c>
      <c r="H58" s="431" cm="1">
        <f t="array" ref="H58">IF(Table3D.2_DailyTTS_PA111[[#This Row],[Year]]=Closeout,AvgDelay_27PA,AvgDelay_27PA+(DelayChange_PA*(Table3D.2_DailyTTS_PA111[[#This Row],[Year]]-2027)))</f>
        <v>5.7349074074074073E-3</v>
      </c>
    </row>
    <row r="59" spans="2:8">
      <c r="B59" s="122">
        <f>First_Year+'Q_Appendix B. Project Info'!B28</f>
        <v>2031</v>
      </c>
      <c r="C59" s="432" cm="1">
        <f t="array" ref="C59">IF(Table3D.2_DailyTTS_PA111[[#This Row],[Year]]=Closeout,Traffic_27PA,Traffic_27PA+(TrafChange_PA*(Table3D.2_DailyTTS_PA111[[#This Row],[Year]]-2027)))</f>
        <v>71021.666666666672</v>
      </c>
      <c r="D59" s="415" cm="1">
        <f t="array" ref="D59">IF(Table3D.2_DailyTTS_PA111[[#This Row],[Year]]=Closeout,VMT_27PA,VMT_27PA+(VMTChange_PA*(Table3D.2_DailyTTS_PA111[[#This Row],[Year]]-2027)))</f>
        <v>93071.137333333332</v>
      </c>
      <c r="E59" s="415" cm="1">
        <f t="array" ref="E59">IF(Table3D.2_DailyTTS_PA111[[#This Row],[Year]]=Closeout,VHT_27PA,VHT_27PA+(VHTChange_PA*(Table3D.2_DailyTTS_PA111[[#This Row],[Year]]-2027)))</f>
        <v>2627.7548562962961</v>
      </c>
      <c r="F59" s="415" cm="1">
        <f t="array" ref="F59">IF(Table3D.2_DailyTTS_PA111[[#This Row],[Year]]=Closeout,MPH_27PA,MPH_27PA+(MPHChange_PA*(Table3D.2_DailyTTS_PA111[[#This Row],[Year]]-2027)))</f>
        <v>35.786222222222221</v>
      </c>
      <c r="G59" s="415" cm="1">
        <f t="array" ref="G59">IF(Table3D.2_DailyTTS_PA111[[#This Row],[Year]]=Closeout,DelayTot_27PA,DelayTot_27PA+(DelayTotChange_PA*(Table3D.2_DailyTTS_PA111[[#This Row],[Year]]-2027)))</f>
        <v>441.98509925925919</v>
      </c>
      <c r="H59" s="431" cm="1">
        <f t="array" ref="H59">IF(Table3D.2_DailyTTS_PA111[[#This Row],[Year]]=Closeout,AvgDelay_27PA,AvgDelay_27PA+(DelayChange_PA*(Table3D.2_DailyTTS_PA111[[#This Row],[Year]]-2027)))</f>
        <v>5.7475925925925932E-3</v>
      </c>
    </row>
    <row r="60" spans="2:8">
      <c r="B60" s="122">
        <f>First_Year+'Q_Appendix B. Project Info'!B29</f>
        <v>2032</v>
      </c>
      <c r="C60" s="432" cm="1">
        <f t="array" ref="C60">IF(Table3D.2_DailyTTS_PA111[[#This Row],[Year]]=Closeout,Traffic_27PA,Traffic_27PA+(TrafChange_PA*(Table3D.2_DailyTTS_PA111[[#This Row],[Year]]-2027)))</f>
        <v>71469.333333333328</v>
      </c>
      <c r="D60" s="415" cm="1">
        <f t="array" ref="D60">IF(Table3D.2_DailyTTS_PA111[[#This Row],[Year]]=Closeout,VMT_27PA,VMT_27PA+(VMTChange_PA*(Table3D.2_DailyTTS_PA111[[#This Row],[Year]]-2027)))</f>
        <v>93710.986666666664</v>
      </c>
      <c r="E60" s="415" cm="1">
        <f t="array" ref="E60">IF(Table3D.2_DailyTTS_PA111[[#This Row],[Year]]=Closeout,VHT_27PA,VHT_27PA+(VHTChange_PA*(Table3D.2_DailyTTS_PA111[[#This Row],[Year]]-2027)))</f>
        <v>2646.568699537037</v>
      </c>
      <c r="F60" s="415" cm="1">
        <f t="array" ref="F60">IF(Table3D.2_DailyTTS_PA111[[#This Row],[Year]]=Closeout,MPH_27PA,MPH_27PA+(MPHChange_PA*(Table3D.2_DailyTTS_PA111[[#This Row],[Year]]-2027)))</f>
        <v>35.789444444444442</v>
      </c>
      <c r="G60" s="415" cm="1">
        <f t="array" ref="G60">IF(Table3D.2_DailyTTS_PA111[[#This Row],[Year]]=Closeout,DelayTot_27PA,DelayTot_27PA+(DelayTotChange_PA*(Table3D.2_DailyTTS_PA111[[#This Row],[Year]]-2027)))</f>
        <v>446.85384629629624</v>
      </c>
      <c r="H60" s="431" cm="1">
        <f t="array" ref="H60">IF(Table3D.2_DailyTTS_PA111[[#This Row],[Year]]=Closeout,AvgDelay_27PA,AvgDelay_27PA+(DelayChange_PA*(Table3D.2_DailyTTS_PA111[[#This Row],[Year]]-2027)))</f>
        <v>5.7602777777777782E-3</v>
      </c>
    </row>
    <row r="61" spans="2:8">
      <c r="B61" s="122">
        <f>First_Year+'Q_Appendix B. Project Info'!B30</f>
        <v>2033</v>
      </c>
      <c r="C61" s="432" cm="1">
        <f t="array" ref="C61">IF(Table3D.2_DailyTTS_PA111[[#This Row],[Year]]=Closeout,Traffic_27PA,Traffic_27PA+(TrafChange_PA*(Table3D.2_DailyTTS_PA111[[#This Row],[Year]]-2027)))</f>
        <v>71917</v>
      </c>
      <c r="D61" s="415" cm="1">
        <f t="array" ref="D61">IF(Table3D.2_DailyTTS_PA111[[#This Row],[Year]]=Closeout,VMT_27PA,VMT_27PA+(VMTChange_PA*(Table3D.2_DailyTTS_PA111[[#This Row],[Year]]-2027)))</f>
        <v>94350.835999999996</v>
      </c>
      <c r="E61" s="415" cm="1">
        <f t="array" ref="E61">IF(Table3D.2_DailyTTS_PA111[[#This Row],[Year]]=Closeout,VHT_27PA,VHT_27PA+(VHTChange_PA*(Table3D.2_DailyTTS_PA111[[#This Row],[Year]]-2027)))</f>
        <v>2665.3825427777774</v>
      </c>
      <c r="F61" s="415" cm="1">
        <f t="array" ref="F61">IF(Table3D.2_DailyTTS_PA111[[#This Row],[Year]]=Closeout,MPH_27PA,MPH_27PA+(MPHChange_PA*(Table3D.2_DailyTTS_PA111[[#This Row],[Year]]-2027)))</f>
        <v>35.792666666666669</v>
      </c>
      <c r="G61" s="415" cm="1">
        <f t="array" ref="G61">IF(Table3D.2_DailyTTS_PA111[[#This Row],[Year]]=Closeout,DelayTot_27PA,DelayTot_27PA+(DelayTotChange_PA*(Table3D.2_DailyTTS_PA111[[#This Row],[Year]]-2027)))</f>
        <v>451.72259333333329</v>
      </c>
      <c r="H61" s="431" cm="1">
        <f t="array" ref="H61">IF(Table3D.2_DailyTTS_PA111[[#This Row],[Year]]=Closeout,AvgDelay_27PA,AvgDelay_27PA+(DelayChange_PA*(Table3D.2_DailyTTS_PA111[[#This Row],[Year]]-2027)))</f>
        <v>5.7729629629629632E-3</v>
      </c>
    </row>
    <row r="62" spans="2:8">
      <c r="B62" s="122">
        <f>First_Year+'Q_Appendix B. Project Info'!B31</f>
        <v>2034</v>
      </c>
      <c r="C62" s="432" cm="1">
        <f t="array" ref="C62">IF(Table3D.2_DailyTTS_PA111[[#This Row],[Year]]=Closeout,Traffic_27PA,Traffic_27PA+(TrafChange_PA*(Table3D.2_DailyTTS_PA111[[#This Row],[Year]]-2027)))</f>
        <v>72364.666666666672</v>
      </c>
      <c r="D62" s="415" cm="1">
        <f t="array" ref="D62">IF(Table3D.2_DailyTTS_PA111[[#This Row],[Year]]=Closeout,VMT_27PA,VMT_27PA+(VMTChange_PA*(Table3D.2_DailyTTS_PA111[[#This Row],[Year]]-2027)))</f>
        <v>94990.685333333327</v>
      </c>
      <c r="E62" s="415" cm="1">
        <f t="array" ref="E62">IF(Table3D.2_DailyTTS_PA111[[#This Row],[Year]]=Closeout,VHT_27PA,VHT_27PA+(VHTChange_PA*(Table3D.2_DailyTTS_PA111[[#This Row],[Year]]-2027)))</f>
        <v>2684.1963860185183</v>
      </c>
      <c r="F62" s="415" cm="1">
        <f t="array" ref="F62">IF(Table3D.2_DailyTTS_PA111[[#This Row],[Year]]=Closeout,MPH_27PA,MPH_27PA+(MPHChange_PA*(Table3D.2_DailyTTS_PA111[[#This Row],[Year]]-2027)))</f>
        <v>35.795888888888889</v>
      </c>
      <c r="G62" s="415" cm="1">
        <f t="array" ref="G62">IF(Table3D.2_DailyTTS_PA111[[#This Row],[Year]]=Closeout,DelayTot_27PA,DelayTot_27PA+(DelayTotChange_PA*(Table3D.2_DailyTTS_PA111[[#This Row],[Year]]-2027)))</f>
        <v>456.59134037037029</v>
      </c>
      <c r="H62" s="431" cm="1">
        <f t="array" ref="H62">IF(Table3D.2_DailyTTS_PA111[[#This Row],[Year]]=Closeout,AvgDelay_27PA,AvgDelay_27PA+(DelayChange_PA*(Table3D.2_DailyTTS_PA111[[#This Row],[Year]]-2027)))</f>
        <v>5.7856481481481483E-3</v>
      </c>
    </row>
    <row r="63" spans="2:8">
      <c r="B63" s="122">
        <f>First_Year+'Q_Appendix B. Project Info'!B32</f>
        <v>2035</v>
      </c>
      <c r="C63" s="432" cm="1">
        <f t="array" ref="C63">IF(Table3D.2_DailyTTS_PA111[[#This Row],[Year]]=Closeout,Traffic_27PA,Traffic_27PA+(TrafChange_PA*(Table3D.2_DailyTTS_PA111[[#This Row],[Year]]-2027)))</f>
        <v>72812.333333333328</v>
      </c>
      <c r="D63" s="415" cm="1">
        <f t="array" ref="D63">IF(Table3D.2_DailyTTS_PA111[[#This Row],[Year]]=Closeout,VMT_27PA,VMT_27PA+(VMTChange_PA*(Table3D.2_DailyTTS_PA111[[#This Row],[Year]]-2027)))</f>
        <v>95630.534666666659</v>
      </c>
      <c r="E63" s="415" cm="1">
        <f t="array" ref="E63">IF(Table3D.2_DailyTTS_PA111[[#This Row],[Year]]=Closeout,VHT_27PA,VHT_27PA+(VHTChange_PA*(Table3D.2_DailyTTS_PA111[[#This Row],[Year]]-2027)))</f>
        <v>2703.0102292592592</v>
      </c>
      <c r="F63" s="415" cm="1">
        <f t="array" ref="F63">IF(Table3D.2_DailyTTS_PA111[[#This Row],[Year]]=Closeout,MPH_27PA,MPH_27PA+(MPHChange_PA*(Table3D.2_DailyTTS_PA111[[#This Row],[Year]]-2027)))</f>
        <v>35.79911111111111</v>
      </c>
      <c r="G63" s="415" cm="1">
        <f t="array" ref="G63">IF(Table3D.2_DailyTTS_PA111[[#This Row],[Year]]=Closeout,DelayTot_27PA,DelayTot_27PA+(DelayTotChange_PA*(Table3D.2_DailyTTS_PA111[[#This Row],[Year]]-2027)))</f>
        <v>461.46008740740734</v>
      </c>
      <c r="H63" s="431" cm="1">
        <f t="array" ref="H63">IF(Table3D.2_DailyTTS_PA111[[#This Row],[Year]]=Closeout,AvgDelay_27PA,AvgDelay_27PA+(DelayChange_PA*(Table3D.2_DailyTTS_PA111[[#This Row],[Year]]-2027)))</f>
        <v>5.7983333333333333E-3</v>
      </c>
    </row>
    <row r="64" spans="2:8">
      <c r="B64" s="122">
        <f>First_Year+'Q_Appendix B. Project Info'!B33</f>
        <v>2036</v>
      </c>
      <c r="C64" s="432" cm="1">
        <f t="array" ref="C64">IF(Table3D.2_DailyTTS_PA111[[#This Row],[Year]]=Closeout,Traffic_27PA,Traffic_27PA+(TrafChange_PA*(Table3D.2_DailyTTS_PA111[[#This Row],[Year]]-2027)))</f>
        <v>73260</v>
      </c>
      <c r="D64" s="415" cm="1">
        <f t="array" ref="D64">IF(Table3D.2_DailyTTS_PA111[[#This Row],[Year]]=Closeout,VMT_27PA,VMT_27PA+(VMTChange_PA*(Table3D.2_DailyTTS_PA111[[#This Row],[Year]]-2027)))</f>
        <v>96270.383999999991</v>
      </c>
      <c r="E64" s="415" cm="1">
        <f t="array" ref="E64">IF(Table3D.2_DailyTTS_PA111[[#This Row],[Year]]=Closeout,VHT_27PA,VHT_27PA+(VHTChange_PA*(Table3D.2_DailyTTS_PA111[[#This Row],[Year]]-2027)))</f>
        <v>2721.8240724999996</v>
      </c>
      <c r="F64" s="415" cm="1">
        <f t="array" ref="F64">IF(Table3D.2_DailyTTS_PA111[[#This Row],[Year]]=Closeout,MPH_27PA,MPH_27PA+(MPHChange_PA*(Table3D.2_DailyTTS_PA111[[#This Row],[Year]]-2027)))</f>
        <v>35.80233333333333</v>
      </c>
      <c r="G64" s="415" cm="1">
        <f t="array" ref="G64">IF(Table3D.2_DailyTTS_PA111[[#This Row],[Year]]=Closeout,DelayTot_27PA,DelayTot_27PA+(DelayTotChange_PA*(Table3D.2_DailyTTS_PA111[[#This Row],[Year]]-2027)))</f>
        <v>466.3288344444444</v>
      </c>
      <c r="H64" s="431" cm="1">
        <f t="array" ref="H64">IF(Table3D.2_DailyTTS_PA111[[#This Row],[Year]]=Closeout,AvgDelay_27PA,AvgDelay_27PA+(DelayChange_PA*(Table3D.2_DailyTTS_PA111[[#This Row],[Year]]-2027)))</f>
        <v>5.8110185185185192E-3</v>
      </c>
    </row>
    <row r="65" spans="2:8">
      <c r="B65" s="122">
        <f>First_Year+'Q_Appendix B. Project Info'!B34</f>
        <v>2037</v>
      </c>
      <c r="C65" s="432" cm="1">
        <f t="array" ref="C65">IF(Table3D.2_DailyTTS_PA111[[#This Row],[Year]]=Closeout,Traffic_27PA,Traffic_27PA+(TrafChange_PA*(Table3D.2_DailyTTS_PA111[[#This Row],[Year]]-2027)))</f>
        <v>73707.666666666672</v>
      </c>
      <c r="D65" s="415" cm="1">
        <f t="array" ref="D65">IF(Table3D.2_DailyTTS_PA111[[#This Row],[Year]]=Closeout,VMT_27PA,VMT_27PA+(VMTChange_PA*(Table3D.2_DailyTTS_PA111[[#This Row],[Year]]-2027)))</f>
        <v>96910.233333333323</v>
      </c>
      <c r="E65" s="415" cm="1">
        <f t="array" ref="E65">IF(Table3D.2_DailyTTS_PA111[[#This Row],[Year]]=Closeout,VHT_27PA,VHT_27PA+(VHTChange_PA*(Table3D.2_DailyTTS_PA111[[#This Row],[Year]]-2027)))</f>
        <v>2740.6379157407405</v>
      </c>
      <c r="F65" s="415" cm="1">
        <f t="array" ref="F65">IF(Table3D.2_DailyTTS_PA111[[#This Row],[Year]]=Closeout,MPH_27PA,MPH_27PA+(MPHChange_PA*(Table3D.2_DailyTTS_PA111[[#This Row],[Year]]-2027)))</f>
        <v>35.805555555555557</v>
      </c>
      <c r="G65" s="415" cm="1">
        <f t="array" ref="G65">IF(Table3D.2_DailyTTS_PA111[[#This Row],[Year]]=Closeout,DelayTot_27PA,DelayTot_27PA+(DelayTotChange_PA*(Table3D.2_DailyTTS_PA111[[#This Row],[Year]]-2027)))</f>
        <v>471.19758148148145</v>
      </c>
      <c r="H65" s="431" cm="1">
        <f t="array" ref="H65">IF(Table3D.2_DailyTTS_PA111[[#This Row],[Year]]=Closeout,AvgDelay_27PA,AvgDelay_27PA+(DelayChange_PA*(Table3D.2_DailyTTS_PA111[[#This Row],[Year]]-2027)))</f>
        <v>5.8237037037037042E-3</v>
      </c>
    </row>
    <row r="66" spans="2:8">
      <c r="B66" s="122">
        <f>First_Year+'Q_Appendix B. Project Info'!B35</f>
        <v>2038</v>
      </c>
      <c r="C66" s="432" cm="1">
        <f t="array" ref="C66">IF(Table3D.2_DailyTTS_PA111[[#This Row],[Year]]=Closeout,Traffic_27PA,Traffic_27PA+(TrafChange_PA*(Table3D.2_DailyTTS_PA111[[#This Row],[Year]]-2027)))</f>
        <v>74155.333333333328</v>
      </c>
      <c r="D66" s="415" cm="1">
        <f t="array" ref="D66">IF(Table3D.2_DailyTTS_PA111[[#This Row],[Year]]=Closeout,VMT_27PA,VMT_27PA+(VMTChange_PA*(Table3D.2_DailyTTS_PA111[[#This Row],[Year]]-2027)))</f>
        <v>97550.082666666654</v>
      </c>
      <c r="E66" s="415" cm="1">
        <f t="array" ref="E66">IF(Table3D.2_DailyTTS_PA111[[#This Row],[Year]]=Closeout,VHT_27PA,VHT_27PA+(VHTChange_PA*(Table3D.2_DailyTTS_PA111[[#This Row],[Year]]-2027)))</f>
        <v>2759.4517589814814</v>
      </c>
      <c r="F66" s="415" cm="1">
        <f t="array" ref="F66">IF(Table3D.2_DailyTTS_PA111[[#This Row],[Year]]=Closeout,MPH_27PA,MPH_27PA+(MPHChange_PA*(Table3D.2_DailyTTS_PA111[[#This Row],[Year]]-2027)))</f>
        <v>35.808777777777777</v>
      </c>
      <c r="G66" s="415" cm="1">
        <f t="array" ref="G66">IF(Table3D.2_DailyTTS_PA111[[#This Row],[Year]]=Closeout,DelayTot_27PA,DelayTot_27PA+(DelayTotChange_PA*(Table3D.2_DailyTTS_PA111[[#This Row],[Year]]-2027)))</f>
        <v>476.06632851851845</v>
      </c>
      <c r="H66" s="431" cm="1">
        <f t="array" ref="H66">IF(Table3D.2_DailyTTS_PA111[[#This Row],[Year]]=Closeout,AvgDelay_27PA,AvgDelay_27PA+(DelayChange_PA*(Table3D.2_DailyTTS_PA111[[#This Row],[Year]]-2027)))</f>
        <v>5.8363888888888892E-3</v>
      </c>
    </row>
    <row r="67" spans="2:8">
      <c r="B67" s="122">
        <f>First_Year+'Q_Appendix B. Project Info'!B36</f>
        <v>2039</v>
      </c>
      <c r="C67" s="432" cm="1">
        <f t="array" ref="C67">IF(Table3D.2_DailyTTS_PA111[[#This Row],[Year]]=Closeout,Traffic_27PA,Traffic_27PA+(TrafChange_PA*(Table3D.2_DailyTTS_PA111[[#This Row],[Year]]-2027)))</f>
        <v>74603</v>
      </c>
      <c r="D67" s="415" cm="1">
        <f t="array" ref="D67">IF(Table3D.2_DailyTTS_PA111[[#This Row],[Year]]=Closeout,VMT_27PA,VMT_27PA+(VMTChange_PA*(Table3D.2_DailyTTS_PA111[[#This Row],[Year]]-2027)))</f>
        <v>98189.932000000001</v>
      </c>
      <c r="E67" s="415" cm="1">
        <f t="array" ref="E67">IF(Table3D.2_DailyTTS_PA111[[#This Row],[Year]]=Closeout,VHT_27PA,VHT_27PA+(VHTChange_PA*(Table3D.2_DailyTTS_PA111[[#This Row],[Year]]-2027)))</f>
        <v>2778.2656022222218</v>
      </c>
      <c r="F67" s="415" cm="1">
        <f t="array" ref="F67">IF(Table3D.2_DailyTTS_PA111[[#This Row],[Year]]=Closeout,MPH_27PA,MPH_27PA+(MPHChange_PA*(Table3D.2_DailyTTS_PA111[[#This Row],[Year]]-2027)))</f>
        <v>35.811999999999998</v>
      </c>
      <c r="G67" s="415" cm="1">
        <f t="array" ref="G67">IF(Table3D.2_DailyTTS_PA111[[#This Row],[Year]]=Closeout,DelayTot_27PA,DelayTot_27PA+(DelayTotChange_PA*(Table3D.2_DailyTTS_PA111[[#This Row],[Year]]-2027)))</f>
        <v>480.9350755555555</v>
      </c>
      <c r="H67" s="431" cm="1">
        <f t="array" ref="H67">IF(Table3D.2_DailyTTS_PA111[[#This Row],[Year]]=Closeout,AvgDelay_27PA,AvgDelay_27PA+(DelayChange_PA*(Table3D.2_DailyTTS_PA111[[#This Row],[Year]]-2027)))</f>
        <v>5.8490740740740742E-3</v>
      </c>
    </row>
    <row r="68" spans="2:8">
      <c r="B68" s="122">
        <f>First_Year+'Q_Appendix B. Project Info'!B37</f>
        <v>2040</v>
      </c>
      <c r="C68" s="432" cm="1">
        <f t="array" ref="C68">IF(Table3D.2_DailyTTS_PA111[[#This Row],[Year]]=Closeout,Traffic_27PA,Traffic_27PA+(TrafChange_PA*(Table3D.2_DailyTTS_PA111[[#This Row],[Year]]-2027)))</f>
        <v>75050.666666666672</v>
      </c>
      <c r="D68" s="415" cm="1">
        <f t="array" ref="D68">IF(Table3D.2_DailyTTS_PA111[[#This Row],[Year]]=Closeout,VMT_27PA,VMT_27PA+(VMTChange_PA*(Table3D.2_DailyTTS_PA111[[#This Row],[Year]]-2027)))</f>
        <v>98829.781333333332</v>
      </c>
      <c r="E68" s="415" cm="1">
        <f t="array" ref="E68">IF(Table3D.2_DailyTTS_PA111[[#This Row],[Year]]=Closeout,VHT_27PA,VHT_27PA+(VHTChange_PA*(Table3D.2_DailyTTS_PA111[[#This Row],[Year]]-2027)))</f>
        <v>2797.0794454629627</v>
      </c>
      <c r="F68" s="415" cm="1">
        <f t="array" ref="F68">IF(Table3D.2_DailyTTS_PA111[[#This Row],[Year]]=Closeout,MPH_27PA,MPH_27PA+(MPHChange_PA*(Table3D.2_DailyTTS_PA111[[#This Row],[Year]]-2027)))</f>
        <v>35.815222222222218</v>
      </c>
      <c r="G68" s="415" cm="1">
        <f t="array" ref="G68">IF(Table3D.2_DailyTTS_PA111[[#This Row],[Year]]=Closeout,DelayTot_27PA,DelayTot_27PA+(DelayTotChange_PA*(Table3D.2_DailyTTS_PA111[[#This Row],[Year]]-2027)))</f>
        <v>485.80382259259255</v>
      </c>
      <c r="H68" s="431" cm="1">
        <f t="array" ref="H68">IF(Table3D.2_DailyTTS_PA111[[#This Row],[Year]]=Closeout,AvgDelay_27PA,AvgDelay_27PA+(DelayChange_PA*(Table3D.2_DailyTTS_PA111[[#This Row],[Year]]-2027)))</f>
        <v>5.8617592592592593E-3</v>
      </c>
    </row>
    <row r="69" spans="2:8">
      <c r="B69" s="122">
        <f>First_Year+'Q_Appendix B. Project Info'!B38</f>
        <v>2041</v>
      </c>
      <c r="C69" s="432" cm="1">
        <f t="array" ref="C69">IF(Table3D.2_DailyTTS_PA111[[#This Row],[Year]]=Closeout,Traffic_27PA,Traffic_27PA+(TrafChange_PA*(Table3D.2_DailyTTS_PA111[[#This Row],[Year]]-2027)))</f>
        <v>75498.333333333328</v>
      </c>
      <c r="D69" s="415" cm="1">
        <f t="array" ref="D69">IF(Table3D.2_DailyTTS_PA111[[#This Row],[Year]]=Closeout,VMT_27PA,VMT_27PA+(VMTChange_PA*(Table3D.2_DailyTTS_PA111[[#This Row],[Year]]-2027)))</f>
        <v>99469.630666666664</v>
      </c>
      <c r="E69" s="415" cm="1">
        <f t="array" ref="E69">IF(Table3D.2_DailyTTS_PA111[[#This Row],[Year]]=Closeout,VHT_27PA,VHT_27PA+(VHTChange_PA*(Table3D.2_DailyTTS_PA111[[#This Row],[Year]]-2027)))</f>
        <v>2815.8932887037035</v>
      </c>
      <c r="F69" s="415" cm="1">
        <f t="array" ref="F69">IF(Table3D.2_DailyTTS_PA111[[#This Row],[Year]]=Closeout,MPH_27PA,MPH_27PA+(MPHChange_PA*(Table3D.2_DailyTTS_PA111[[#This Row],[Year]]-2027)))</f>
        <v>35.818444444444445</v>
      </c>
      <c r="G69" s="415" cm="1">
        <f t="array" ref="G69">IF(Table3D.2_DailyTTS_PA111[[#This Row],[Year]]=Closeout,DelayTot_27PA,DelayTot_27PA+(DelayTotChange_PA*(Table3D.2_DailyTTS_PA111[[#This Row],[Year]]-2027)))</f>
        <v>490.67256962962961</v>
      </c>
      <c r="H69" s="431" cm="1">
        <f t="array" ref="H69">IF(Table3D.2_DailyTTS_PA111[[#This Row],[Year]]=Closeout,AvgDelay_27PA,AvgDelay_27PA+(DelayChange_PA*(Table3D.2_DailyTTS_PA111[[#This Row],[Year]]-2027)))</f>
        <v>5.8744444444444443E-3</v>
      </c>
    </row>
    <row r="70" spans="2:8">
      <c r="B70" s="122">
        <f>First_Year+'Q_Appendix B. Project Info'!B39</f>
        <v>2042</v>
      </c>
      <c r="C70" s="432" cm="1">
        <f t="array" ref="C70">IF(Table3D.2_DailyTTS_PA111[[#This Row],[Year]]=Closeout,Traffic_27PA,Traffic_27PA+(TrafChange_PA*(Table3D.2_DailyTTS_PA111[[#This Row],[Year]]-2027)))</f>
        <v>75946</v>
      </c>
      <c r="D70" s="415" cm="1">
        <f t="array" ref="D70">IF(Table3D.2_DailyTTS_PA111[[#This Row],[Year]]=Closeout,VMT_27PA,VMT_27PA+(VMTChange_PA*(Table3D.2_DailyTTS_PA111[[#This Row],[Year]]-2027)))</f>
        <v>100109.48</v>
      </c>
      <c r="E70" s="415" cm="1">
        <f t="array" ref="E70">IF(Table3D.2_DailyTTS_PA111[[#This Row],[Year]]=Closeout,VHT_27PA,VHT_27PA+(VHTChange_PA*(Table3D.2_DailyTTS_PA111[[#This Row],[Year]]-2027)))</f>
        <v>2834.707131944444</v>
      </c>
      <c r="F70" s="415" cm="1">
        <f t="array" ref="F70">IF(Table3D.2_DailyTTS_PA111[[#This Row],[Year]]=Closeout,MPH_27PA,MPH_27PA+(MPHChange_PA*(Table3D.2_DailyTTS_PA111[[#This Row],[Year]]-2027)))</f>
        <v>35.821666666666665</v>
      </c>
      <c r="G70" s="415" cm="1">
        <f t="array" ref="G70">IF(Table3D.2_DailyTTS_PA111[[#This Row],[Year]]=Closeout,DelayTot_27PA,DelayTot_27PA+(DelayTotChange_PA*(Table3D.2_DailyTTS_PA111[[#This Row],[Year]]-2027)))</f>
        <v>495.5413166666666</v>
      </c>
      <c r="H70" s="431" cm="1">
        <f t="array" ref="H70">IF(Table3D.2_DailyTTS_PA111[[#This Row],[Year]]=Closeout,AvgDelay_27PA,AvgDelay_27PA+(DelayChange_PA*(Table3D.2_DailyTTS_PA111[[#This Row],[Year]]-2027)))</f>
        <v>5.8871296296296293E-3</v>
      </c>
    </row>
    <row r="71" spans="2:8">
      <c r="B71" s="122">
        <f>First_Year+'Q_Appendix B. Project Info'!B40</f>
        <v>2043</v>
      </c>
      <c r="C71" s="432" cm="1">
        <f t="array" ref="C71">IF(Table3D.2_DailyTTS_PA111[[#This Row],[Year]]=Closeout,Traffic_27PA,Traffic_27PA+(TrafChange_PA*(Table3D.2_DailyTTS_PA111[[#This Row],[Year]]-2027)))</f>
        <v>76393.666666666672</v>
      </c>
      <c r="D71" s="415" cm="1">
        <f t="array" ref="D71">IF(Table3D.2_DailyTTS_PA111[[#This Row],[Year]]=Closeout,VMT_27PA,VMT_27PA+(VMTChange_PA*(Table3D.2_DailyTTS_PA111[[#This Row],[Year]]-2027)))</f>
        <v>100749.32933333333</v>
      </c>
      <c r="E71" s="415" cm="1">
        <f t="array" ref="E71">IF(Table3D.2_DailyTTS_PA111[[#This Row],[Year]]=Closeout,VHT_27PA,VHT_27PA+(VHTChange_PA*(Table3D.2_DailyTTS_PA111[[#This Row],[Year]]-2027)))</f>
        <v>2853.5209751851849</v>
      </c>
      <c r="F71" s="415" cm="1">
        <f t="array" ref="F71">IF(Table3D.2_DailyTTS_PA111[[#This Row],[Year]]=Closeout,MPH_27PA,MPH_27PA+(MPHChange_PA*(Table3D.2_DailyTTS_PA111[[#This Row],[Year]]-2027)))</f>
        <v>35.824888888888886</v>
      </c>
      <c r="G71" s="415" cm="1">
        <f t="array" ref="G71">IF(Table3D.2_DailyTTS_PA111[[#This Row],[Year]]=Closeout,DelayTot_27PA,DelayTot_27PA+(DelayTotChange_PA*(Table3D.2_DailyTTS_PA111[[#This Row],[Year]]-2027)))</f>
        <v>500.41006370370366</v>
      </c>
      <c r="H71" s="431" cm="1">
        <f t="array" ref="H71">IF(Table3D.2_DailyTTS_PA111[[#This Row],[Year]]=Closeout,AvgDelay_27PA,AvgDelay_27PA+(DelayChange_PA*(Table3D.2_DailyTTS_PA111[[#This Row],[Year]]-2027)))</f>
        <v>5.8998148148148152E-3</v>
      </c>
    </row>
    <row r="72" spans="2:8">
      <c r="B72" s="122">
        <f>First_Year+'Q_Appendix B. Project Info'!B41</f>
        <v>2044</v>
      </c>
      <c r="C72" s="432" cm="1">
        <f t="array" ref="C72">IF(Table3D.2_DailyTTS_PA111[[#This Row],[Year]]=Closeout,Traffic_27PA,Traffic_27PA+(TrafChange_PA*(Table3D.2_DailyTTS_PA111[[#This Row],[Year]]-2027)))</f>
        <v>76841.333333333328</v>
      </c>
      <c r="D72" s="415" cm="1">
        <f t="array" ref="D72">IF(Table3D.2_DailyTTS_PA111[[#This Row],[Year]]=Closeout,VMT_27PA,VMT_27PA+(VMTChange_PA*(Table3D.2_DailyTTS_PA111[[#This Row],[Year]]-2027)))</f>
        <v>101389.17866666666</v>
      </c>
      <c r="E72" s="415" cm="1">
        <f t="array" ref="E72">IF(Table3D.2_DailyTTS_PA111[[#This Row],[Year]]=Closeout,VHT_27PA,VHT_27PA+(VHTChange_PA*(Table3D.2_DailyTTS_PA111[[#This Row],[Year]]-2027)))</f>
        <v>2872.3348184259257</v>
      </c>
      <c r="F72" s="415" cm="1">
        <f t="array" ref="F72">IF(Table3D.2_DailyTTS_PA111[[#This Row],[Year]]=Closeout,MPH_27PA,MPH_27PA+(MPHChange_PA*(Table3D.2_DailyTTS_PA111[[#This Row],[Year]]-2027)))</f>
        <v>35.828111111111113</v>
      </c>
      <c r="G72" s="415" cm="1">
        <f t="array" ref="G72">IF(Table3D.2_DailyTTS_PA111[[#This Row],[Year]]=Closeout,DelayTot_27PA,DelayTot_27PA+(DelayTotChange_PA*(Table3D.2_DailyTTS_PA111[[#This Row],[Year]]-2027)))</f>
        <v>505.27881074074071</v>
      </c>
      <c r="H72" s="431" cm="1">
        <f t="array" ref="H72">IF(Table3D.2_DailyTTS_PA111[[#This Row],[Year]]=Closeout,AvgDelay_27PA,AvgDelay_27PA+(DelayChange_PA*(Table3D.2_DailyTTS_PA111[[#This Row],[Year]]-2027)))</f>
        <v>5.9125000000000002E-3</v>
      </c>
    </row>
    <row r="73" spans="2:8">
      <c r="B73" s="122">
        <f>First_Year+'Q_Appendix B. Project Info'!B42</f>
        <v>2045</v>
      </c>
      <c r="C73" s="432" cm="1">
        <f t="array" ref="C73">IF(Table3D.2_DailyTTS_PA111[[#This Row],[Year]]=Closeout,Traffic_27PA,Traffic_27PA+(TrafChange_PA*(Table3D.2_DailyTTS_PA111[[#This Row],[Year]]-2027)))</f>
        <v>77289</v>
      </c>
      <c r="D73" s="415" cm="1">
        <f t="array" ref="D73">IF(Table3D.2_DailyTTS_PA111[[#This Row],[Year]]=Closeout,VMT_27PA,VMT_27PA+(VMTChange_PA*(Table3D.2_DailyTTS_PA111[[#This Row],[Year]]-2027)))</f>
        <v>102029.02799999999</v>
      </c>
      <c r="E73" s="415" cm="1">
        <f t="array" ref="E73">IF(Table3D.2_DailyTTS_PA111[[#This Row],[Year]]=Closeout,VHT_27PA,VHT_27PA+(VHTChange_PA*(Table3D.2_DailyTTS_PA111[[#This Row],[Year]]-2027)))</f>
        <v>2891.1486616666666</v>
      </c>
      <c r="F73" s="415" cm="1">
        <f t="array" ref="F73">IF(Table3D.2_DailyTTS_PA111[[#This Row],[Year]]=Closeout,MPH_27PA,MPH_27PA+(MPHChange_PA*(Table3D.2_DailyTTS_PA111[[#This Row],[Year]]-2027)))</f>
        <v>35.831333333333333</v>
      </c>
      <c r="G73" s="415" cm="1">
        <f t="array" ref="G73">IF(Table3D.2_DailyTTS_PA111[[#This Row],[Year]]=Closeout,DelayTot_27PA,DelayTot_27PA+(DelayTotChange_PA*(Table3D.2_DailyTTS_PA111[[#This Row],[Year]]-2027)))</f>
        <v>510.14755777777776</v>
      </c>
      <c r="H73" s="431" cm="1">
        <f t="array" ref="H73">IF(Table3D.2_DailyTTS_PA111[[#This Row],[Year]]=Closeout,AvgDelay_27PA,AvgDelay_27PA+(DelayChange_PA*(Table3D.2_DailyTTS_PA111[[#This Row],[Year]]-2027)))</f>
        <v>5.9251851851851852E-3</v>
      </c>
    </row>
    <row r="74" spans="2:8">
      <c r="B74" s="122">
        <f>First_Year+'Q_Appendix B. Project Info'!B43</f>
        <v>2046</v>
      </c>
      <c r="C74" s="432" cm="1">
        <f t="array" ref="C74">IF(Table3D.2_DailyTTS_PA111[[#This Row],[Year]]=Closeout,Traffic_27PA,Traffic_27PA+(TrafChange_PA*(Table3D.2_DailyTTS_PA111[[#This Row],[Year]]-2027)))</f>
        <v>77736.666666666672</v>
      </c>
      <c r="D74" s="415" cm="1">
        <f t="array" ref="D74">IF(Table3D.2_DailyTTS_PA111[[#This Row],[Year]]=Closeout,VMT_27PA,VMT_27PA+(VMTChange_PA*(Table3D.2_DailyTTS_PA111[[#This Row],[Year]]-2027)))</f>
        <v>102668.87733333334</v>
      </c>
      <c r="E74" s="415" cm="1">
        <f t="array" ref="E74">IF(Table3D.2_DailyTTS_PA111[[#This Row],[Year]]=Closeout,VHT_27PA,VHT_27PA+(VHTChange_PA*(Table3D.2_DailyTTS_PA111[[#This Row],[Year]]-2027)))</f>
        <v>2909.962504907407</v>
      </c>
      <c r="F74" s="415" cm="1">
        <f t="array" ref="F74">IF(Table3D.2_DailyTTS_PA111[[#This Row],[Year]]=Closeout,MPH_27PA,MPH_27PA+(MPHChange_PA*(Table3D.2_DailyTTS_PA111[[#This Row],[Year]]-2027)))</f>
        <v>35.834555555555553</v>
      </c>
      <c r="G74" s="415" cm="1">
        <f t="array" ref="G74">IF(Table3D.2_DailyTTS_PA111[[#This Row],[Year]]=Closeout,DelayTot_27PA,DelayTot_27PA+(DelayTotChange_PA*(Table3D.2_DailyTTS_PA111[[#This Row],[Year]]-2027)))</f>
        <v>515.01630481481482</v>
      </c>
      <c r="H74" s="431" cm="1">
        <f t="array" ref="H74">IF(Table3D.2_DailyTTS_PA111[[#This Row],[Year]]=Closeout,AvgDelay_27PA,AvgDelay_27PA+(DelayChange_PA*(Table3D.2_DailyTTS_PA111[[#This Row],[Year]]-2027)))</f>
        <v>5.9378703703703703E-3</v>
      </c>
    </row>
    <row r="75" spans="2:8">
      <c r="B75" s="122">
        <f>First_Year+'Q_Appendix B. Project Info'!B44</f>
        <v>2047</v>
      </c>
      <c r="C75" s="432" cm="1">
        <f t="array" ref="C75">IF(Table3D.2_DailyTTS_PA111[[#This Row],[Year]]=Closeout,Traffic_27PA,Traffic_27PA+(TrafChange_PA*(Table3D.2_DailyTTS_PA111[[#This Row],[Year]]-2027)))</f>
        <v>78184.333333333328</v>
      </c>
      <c r="D75" s="415" cm="1">
        <f t="array" ref="D75">IF(Table3D.2_DailyTTS_PA111[[#This Row],[Year]]=Closeout,VMT_27PA,VMT_27PA+(VMTChange_PA*(Table3D.2_DailyTTS_PA111[[#This Row],[Year]]-2027)))</f>
        <v>103308.72666666667</v>
      </c>
      <c r="E75" s="415" cm="1">
        <f t="array" ref="E75">IF(Table3D.2_DailyTTS_PA111[[#This Row],[Year]]=Closeout,VHT_27PA,VHT_27PA+(VHTChange_PA*(Table3D.2_DailyTTS_PA111[[#This Row],[Year]]-2027)))</f>
        <v>2928.7763481481479</v>
      </c>
      <c r="F75" s="415" cm="1">
        <f t="array" ref="F75">IF(Table3D.2_DailyTTS_PA111[[#This Row],[Year]]=Closeout,MPH_27PA,MPH_27PA+(MPHChange_PA*(Table3D.2_DailyTTS_PA111[[#This Row],[Year]]-2027)))</f>
        <v>35.837777777777774</v>
      </c>
      <c r="G75" s="415" cm="1">
        <f t="array" ref="G75">IF(Table3D.2_DailyTTS_PA111[[#This Row],[Year]]=Closeout,DelayTot_27PA,DelayTot_27PA+(DelayTotChange_PA*(Table3D.2_DailyTTS_PA111[[#This Row],[Year]]-2027)))</f>
        <v>519.88505185185181</v>
      </c>
      <c r="H75" s="431" cm="1">
        <f t="array" ref="H75">IF(Table3D.2_DailyTTS_PA111[[#This Row],[Year]]=Closeout,AvgDelay_27PA,AvgDelay_27PA+(DelayChange_PA*(Table3D.2_DailyTTS_PA111[[#This Row],[Year]]-2027)))</f>
        <v>5.9505555555555553E-3</v>
      </c>
    </row>
    <row r="76" spans="2:8">
      <c r="B76" s="122">
        <f>First_Year+'Q_Appendix B. Project Info'!B45</f>
        <v>2048</v>
      </c>
      <c r="C76" s="432" cm="1">
        <f t="array" ref="C76">IF(Table3D.2_DailyTTS_PA111[[#This Row],[Year]]=Closeout,Traffic_27PA,Traffic_27PA+(TrafChange_PA*(Table3D.2_DailyTTS_PA111[[#This Row],[Year]]-2027)))</f>
        <v>78632</v>
      </c>
      <c r="D76" s="415" cm="1">
        <f t="array" ref="D76">IF(Table3D.2_DailyTTS_PA111[[#This Row],[Year]]=Closeout,VMT_27PA,VMT_27PA+(VMTChange_PA*(Table3D.2_DailyTTS_PA111[[#This Row],[Year]]-2027)))</f>
        <v>103948.576</v>
      </c>
      <c r="E76" s="415" cm="1">
        <f t="array" ref="E76">IF(Table3D.2_DailyTTS_PA111[[#This Row],[Year]]=Closeout,VHT_27PA,VHT_27PA+(VHTChange_PA*(Table3D.2_DailyTTS_PA111[[#This Row],[Year]]-2027)))</f>
        <v>2947.5901913888888</v>
      </c>
      <c r="F76" s="415" cm="1">
        <f t="array" ref="F76">IF(Table3D.2_DailyTTS_PA111[[#This Row],[Year]]=Closeout,MPH_27PA,MPH_27PA+(MPHChange_PA*(Table3D.2_DailyTTS_PA111[[#This Row],[Year]]-2027)))</f>
        <v>35.841000000000001</v>
      </c>
      <c r="G76" s="415" cm="1">
        <f t="array" ref="G76">IF(Table3D.2_DailyTTS_PA111[[#This Row],[Year]]=Closeout,DelayTot_27PA,DelayTot_27PA+(DelayTotChange_PA*(Table3D.2_DailyTTS_PA111[[#This Row],[Year]]-2027)))</f>
        <v>524.75379888888892</v>
      </c>
      <c r="H76" s="431" cm="1">
        <f t="array" ref="H76">IF(Table3D.2_DailyTTS_PA111[[#This Row],[Year]]=Closeout,AvgDelay_27PA,AvgDelay_27PA+(DelayChange_PA*(Table3D.2_DailyTTS_PA111[[#This Row],[Year]]-2027)))</f>
        <v>5.9632407407407412E-3</v>
      </c>
    </row>
    <row r="77" spans="2:8">
      <c r="B77" s="122">
        <f>First_Year+'Q_Appendix B. Project Info'!B46</f>
        <v>2049</v>
      </c>
      <c r="C77" s="432" cm="1">
        <f t="array" ref="C77">IF(Table3D.2_DailyTTS_PA111[[#This Row],[Year]]=Closeout,Traffic_27PA,Traffic_27PA+(TrafChange_PA*(Table3D.2_DailyTTS_PA111[[#This Row],[Year]]-2027)))</f>
        <v>79079.666666666672</v>
      </c>
      <c r="D77" s="415" cm="1">
        <f t="array" ref="D77">IF(Table3D.2_DailyTTS_PA111[[#This Row],[Year]]=Closeout,VMT_27PA,VMT_27PA+(VMTChange_PA*(Table3D.2_DailyTTS_PA111[[#This Row],[Year]]-2027)))</f>
        <v>104588.42533333333</v>
      </c>
      <c r="E77" s="415" cm="1">
        <f t="array" ref="E77">IF(Table3D.2_DailyTTS_PA111[[#This Row],[Year]]=Closeout,VHT_27PA,VHT_27PA+(VHTChange_PA*(Table3D.2_DailyTTS_PA111[[#This Row],[Year]]-2027)))</f>
        <v>2966.4040346296297</v>
      </c>
      <c r="F77" s="415" cm="1">
        <f t="array" ref="F77">IF(Table3D.2_DailyTTS_PA111[[#This Row],[Year]]=Closeout,MPH_27PA,MPH_27PA+(MPHChange_PA*(Table3D.2_DailyTTS_PA111[[#This Row],[Year]]-2027)))</f>
        <v>35.844222222222221</v>
      </c>
      <c r="G77" s="415" cm="1">
        <f t="array" ref="G77">IF(Table3D.2_DailyTTS_PA111[[#This Row],[Year]]=Closeout,DelayTot_27PA,DelayTot_27PA+(DelayTotChange_PA*(Table3D.2_DailyTTS_PA111[[#This Row],[Year]]-2027)))</f>
        <v>529.62254592592592</v>
      </c>
      <c r="H77" s="431" cm="1">
        <f t="array" ref="H77">IF(Table3D.2_DailyTTS_PA111[[#This Row],[Year]]=Closeout,AvgDelay_27PA,AvgDelay_27PA+(DelayChange_PA*(Table3D.2_DailyTTS_PA111[[#This Row],[Year]]-2027)))</f>
        <v>5.9759259259259262E-3</v>
      </c>
    </row>
    <row r="78" spans="2:8">
      <c r="B78" s="122">
        <f>First_Year+'Q_Appendix B. Project Info'!B47</f>
        <v>2050</v>
      </c>
      <c r="C78" s="432" cm="1">
        <f t="array" ref="C78">IF(Table3D.2_DailyTTS_PA111[[#This Row],[Year]]=Closeout,Traffic_27PA,Traffic_27PA+(TrafChange_PA*(Table3D.2_DailyTTS_PA111[[#This Row],[Year]]-2027)))</f>
        <v>79527.333333333328</v>
      </c>
      <c r="D78" s="415" cm="1">
        <f t="array" ref="D78">IF(Table3D.2_DailyTTS_PA111[[#This Row],[Year]]=Closeout,VMT_27PA,VMT_27PA+(VMTChange_PA*(Table3D.2_DailyTTS_PA111[[#This Row],[Year]]-2027)))</f>
        <v>105228.27466666666</v>
      </c>
      <c r="E78" s="415" cm="1">
        <f t="array" ref="E78">IF(Table3D.2_DailyTTS_PA111[[#This Row],[Year]]=Closeout,VHT_27PA,VHT_27PA+(VHTChange_PA*(Table3D.2_DailyTTS_PA111[[#This Row],[Year]]-2027)))</f>
        <v>2985.2178778703701</v>
      </c>
      <c r="F78" s="415" cm="1">
        <f t="array" ref="F78">IF(Table3D.2_DailyTTS_PA111[[#This Row],[Year]]=Closeout,MPH_27PA,MPH_27PA+(MPHChange_PA*(Table3D.2_DailyTTS_PA111[[#This Row],[Year]]-2027)))</f>
        <v>35.847444444444442</v>
      </c>
      <c r="G78" s="415" cm="1">
        <f t="array" ref="G78">IF(Table3D.2_DailyTTS_PA111[[#This Row],[Year]]=Closeout,DelayTot_27PA,DelayTot_27PA+(DelayTotChange_PA*(Table3D.2_DailyTTS_PA111[[#This Row],[Year]]-2027)))</f>
        <v>534.49129296296292</v>
      </c>
      <c r="H78" s="431" cm="1">
        <f t="array" ref="H78">IF(Table3D.2_DailyTTS_PA111[[#This Row],[Year]]=Closeout,AvgDelay_27PA,AvgDelay_27PA+(DelayChange_PA*(Table3D.2_DailyTTS_PA111[[#This Row],[Year]]-2027)))</f>
        <v>5.9886111111111112E-3</v>
      </c>
    </row>
    <row r="79" spans="2:8">
      <c r="B79" s="122">
        <f>First_Year+'Q_Appendix B. Project Info'!B48</f>
        <v>2051</v>
      </c>
      <c r="C79" s="432" cm="1">
        <f t="array" ref="C79">IF(Table3D.2_DailyTTS_PA111[[#This Row],[Year]]=Closeout,Traffic_27PA,Traffic_27PA+(TrafChange_PA*(Table3D.2_DailyTTS_PA111[[#This Row],[Year]]-2027)))</f>
        <v>79975</v>
      </c>
      <c r="D79" s="415" cm="1">
        <f t="array" ref="D79">IF(Table3D.2_DailyTTS_PA111[[#This Row],[Year]]=Closeout,VMT_27PA,VMT_27PA+(VMTChange_PA*(Table3D.2_DailyTTS_PA111[[#This Row],[Year]]-2027)))</f>
        <v>105868.124</v>
      </c>
      <c r="E79" s="415" cm="1">
        <f t="array" ref="E79">IF(Table3D.2_DailyTTS_PA111[[#This Row],[Year]]=Closeout,VHT_27PA,VHT_27PA+(VHTChange_PA*(Table3D.2_DailyTTS_PA111[[#This Row],[Year]]-2027)))</f>
        <v>3004.031721111111</v>
      </c>
      <c r="F79" s="415" cm="1">
        <f t="array" ref="F79">IF(Table3D.2_DailyTTS_PA111[[#This Row],[Year]]=Closeout,MPH_27PA,MPH_27PA+(MPHChange_PA*(Table3D.2_DailyTTS_PA111[[#This Row],[Year]]-2027)))</f>
        <v>35.850666666666662</v>
      </c>
      <c r="G79" s="415" cm="1">
        <f t="array" ref="G79">IF(Table3D.2_DailyTTS_PA111[[#This Row],[Year]]=Closeout,DelayTot_27PA,DelayTot_27PA+(DelayTotChange_PA*(Table3D.2_DailyTTS_PA111[[#This Row],[Year]]-2027)))</f>
        <v>539.36004000000003</v>
      </c>
      <c r="H79" s="431" cm="1">
        <f t="array" ref="H79">IF(Table3D.2_DailyTTS_PA111[[#This Row],[Year]]=Closeout,AvgDelay_27PA,AvgDelay_27PA+(DelayChange_PA*(Table3D.2_DailyTTS_PA111[[#This Row],[Year]]-2027)))</f>
        <v>6.0012962962962962E-3</v>
      </c>
    </row>
    <row r="80" spans="2:8">
      <c r="B80" s="122">
        <f>First_Year+'Q_Appendix B. Project Info'!B49</f>
        <v>2052</v>
      </c>
      <c r="C80" s="432" cm="1">
        <f t="array" ref="C80">IF(Table3D.2_DailyTTS_PA111[[#This Row],[Year]]=Closeout,Traffic_27PA,Traffic_27PA+(TrafChange_PA*(Table3D.2_DailyTTS_PA111[[#This Row],[Year]]-2027)))</f>
        <v>80422.666666666672</v>
      </c>
      <c r="D80" s="415" cm="1">
        <f t="array" ref="D80">IF(Table3D.2_DailyTTS_PA111[[#This Row],[Year]]=Closeout,VMT_27PA,VMT_27PA+(VMTChange_PA*(Table3D.2_DailyTTS_PA111[[#This Row],[Year]]-2027)))</f>
        <v>106507.97333333333</v>
      </c>
      <c r="E80" s="415" cm="1">
        <f t="array" ref="E80">IF(Table3D.2_DailyTTS_PA111[[#This Row],[Year]]=Closeout,VHT_27PA,VHT_27PA+(VHTChange_PA*(Table3D.2_DailyTTS_PA111[[#This Row],[Year]]-2027)))</f>
        <v>3022.8455643518519</v>
      </c>
      <c r="F80" s="415" cm="1">
        <f t="array" ref="F80">IF(Table3D.2_DailyTTS_PA111[[#This Row],[Year]]=Closeout,MPH_27PA,MPH_27PA+(MPHChange_PA*(Table3D.2_DailyTTS_PA111[[#This Row],[Year]]-2027)))</f>
        <v>35.853888888888889</v>
      </c>
      <c r="G80" s="415" cm="1">
        <f t="array" ref="G80">IF(Table3D.2_DailyTTS_PA111[[#This Row],[Year]]=Closeout,DelayTot_27PA,DelayTot_27PA+(DelayTotChange_PA*(Table3D.2_DailyTTS_PA111[[#This Row],[Year]]-2027)))</f>
        <v>544.22878703703702</v>
      </c>
      <c r="H80" s="431" cm="1">
        <f t="array" ref="H80">IF(Table3D.2_DailyTTS_PA111[[#This Row],[Year]]=Closeout,AvgDelay_27PA,AvgDelay_27PA+(DelayChange_PA*(Table3D.2_DailyTTS_PA111[[#This Row],[Year]]-2027)))</f>
        <v>6.0139814814814813E-3</v>
      </c>
    </row>
    <row r="81" spans="2:8">
      <c r="B81" s="122">
        <f>First_Year+'Q_Appendix B. Project Info'!B50</f>
        <v>2053</v>
      </c>
      <c r="C81" s="432" cm="1">
        <f t="array" ref="C81">IF(Table3D.2_DailyTTS_PA111[[#This Row],[Year]]=Closeout,Traffic_27PA,Traffic_27PA+(TrafChange_PA*(Table3D.2_DailyTTS_PA111[[#This Row],[Year]]-2027)))</f>
        <v>80870.333333333328</v>
      </c>
      <c r="D81" s="415" cm="1">
        <f t="array" ref="D81">IF(Table3D.2_DailyTTS_PA111[[#This Row],[Year]]=Closeout,VMT_27PA,VMT_27PA+(VMTChange_PA*(Table3D.2_DailyTTS_PA111[[#This Row],[Year]]-2027)))</f>
        <v>107147.82266666667</v>
      </c>
      <c r="E81" s="415" cm="1">
        <f t="array" ref="E81">IF(Table3D.2_DailyTTS_PA111[[#This Row],[Year]]=Closeout,VHT_27PA,VHT_27PA+(VHTChange_PA*(Table3D.2_DailyTTS_PA111[[#This Row],[Year]]-2027)))</f>
        <v>3041.6594075925923</v>
      </c>
      <c r="F81" s="415" cm="1">
        <f t="array" ref="F81">IF(Table3D.2_DailyTTS_PA111[[#This Row],[Year]]=Closeout,MPH_27PA,MPH_27PA+(MPHChange_PA*(Table3D.2_DailyTTS_PA111[[#This Row],[Year]]-2027)))</f>
        <v>35.857111111111109</v>
      </c>
      <c r="G81" s="415" cm="1">
        <f t="array" ref="G81">IF(Table3D.2_DailyTTS_PA111[[#This Row],[Year]]=Closeout,DelayTot_27PA,DelayTot_27PA+(DelayTotChange_PA*(Table3D.2_DailyTTS_PA111[[#This Row],[Year]]-2027)))</f>
        <v>549.09753407407402</v>
      </c>
      <c r="H81" s="431" cm="1">
        <f t="array" ref="H81">IF(Table3D.2_DailyTTS_PA111[[#This Row],[Year]]=Closeout,AvgDelay_27PA,AvgDelay_27PA+(DelayChange_PA*(Table3D.2_DailyTTS_PA111[[#This Row],[Year]]-2027)))</f>
        <v>6.0266666666666663E-3</v>
      </c>
    </row>
    <row r="82" spans="2:8">
      <c r="B82" s="122">
        <f>First_Year+'Q_Appendix B. Project Info'!B51</f>
        <v>2054</v>
      </c>
      <c r="C82" s="432" cm="1">
        <f t="array" ref="C82">IF(Table3D.2_DailyTTS_PA111[[#This Row],[Year]]=Closeout,Traffic_27PA,Traffic_27PA+(TrafChange_PA*(Table3D.2_DailyTTS_PA111[[#This Row],[Year]]-2027)))</f>
        <v>81318</v>
      </c>
      <c r="D82" s="415" cm="1">
        <f t="array" ref="D82">IF(Table3D.2_DailyTTS_PA111[[#This Row],[Year]]=Closeout,VMT_27PA,VMT_27PA+(VMTChange_PA*(Table3D.2_DailyTTS_PA111[[#This Row],[Year]]-2027)))</f>
        <v>107787.67199999999</v>
      </c>
      <c r="E82" s="415" cm="1">
        <f t="array" ref="E82">IF(Table3D.2_DailyTTS_PA111[[#This Row],[Year]]=Closeout,VHT_27PA,VHT_27PA+(VHTChange_PA*(Table3D.2_DailyTTS_PA111[[#This Row],[Year]]-2027)))</f>
        <v>3060.4732508333332</v>
      </c>
      <c r="F82" s="415" cm="1">
        <f t="array" ref="F82">IF(Table3D.2_DailyTTS_PA111[[#This Row],[Year]]=Closeout,MPH_27PA,MPH_27PA+(MPHChange_PA*(Table3D.2_DailyTTS_PA111[[#This Row],[Year]]-2027)))</f>
        <v>35.86033333333333</v>
      </c>
      <c r="G82" s="415" cm="1">
        <f t="array" ref="G82">IF(Table3D.2_DailyTTS_PA111[[#This Row],[Year]]=Closeout,DelayTot_27PA,DelayTot_27PA+(DelayTotChange_PA*(Table3D.2_DailyTTS_PA111[[#This Row],[Year]]-2027)))</f>
        <v>553.96628111111113</v>
      </c>
      <c r="H82" s="431" cm="1">
        <f t="array" ref="H82">IF(Table3D.2_DailyTTS_PA111[[#This Row],[Year]]=Closeout,AvgDelay_27PA,AvgDelay_27PA+(DelayChange_PA*(Table3D.2_DailyTTS_PA111[[#This Row],[Year]]-2027)))</f>
        <v>6.0393518518518513E-3</v>
      </c>
    </row>
    <row r="83" spans="2:8">
      <c r="B83" s="122">
        <f>First_Year+'Q_Appendix B. Project Info'!B52</f>
        <v>2055</v>
      </c>
      <c r="C83" s="432" cm="1">
        <f t="array" ref="C83">IF(Table3D.2_DailyTTS_PA111[[#This Row],[Year]]=Closeout,Traffic_27PA,Traffic_27PA+(TrafChange_PA*(Table3D.2_DailyTTS_PA111[[#This Row],[Year]]-2027)))</f>
        <v>81765.666666666672</v>
      </c>
      <c r="D83" s="415" cm="1">
        <f t="array" ref="D83">IF(Table3D.2_DailyTTS_PA111[[#This Row],[Year]]=Closeout,VMT_27PA,VMT_27PA+(VMTChange_PA*(Table3D.2_DailyTTS_PA111[[#This Row],[Year]]-2027)))</f>
        <v>108427.52133333334</v>
      </c>
      <c r="E83" s="415" cm="1">
        <f t="array" ref="E83">IF(Table3D.2_DailyTTS_PA111[[#This Row],[Year]]=Closeout,VHT_27PA,VHT_27PA+(VHTChange_PA*(Table3D.2_DailyTTS_PA111[[#This Row],[Year]]-2027)))</f>
        <v>3079.287094074074</v>
      </c>
      <c r="F83" s="415" cm="1">
        <f t="array" ref="F83">IF(Table3D.2_DailyTTS_PA111[[#This Row],[Year]]=Closeout,MPH_27PA,MPH_27PA+(MPHChange_PA*(Table3D.2_DailyTTS_PA111[[#This Row],[Year]]-2027)))</f>
        <v>35.86355555555555</v>
      </c>
      <c r="G83" s="415" cm="1">
        <f t="array" ref="G83">IF(Table3D.2_DailyTTS_PA111[[#This Row],[Year]]=Closeout,DelayTot_27PA,DelayTot_27PA+(DelayTotChange_PA*(Table3D.2_DailyTTS_PA111[[#This Row],[Year]]-2027)))</f>
        <v>558.83502814814813</v>
      </c>
      <c r="H83" s="431" cm="1">
        <f t="array" ref="H83">IF(Table3D.2_DailyTTS_PA111[[#This Row],[Year]]=Closeout,AvgDelay_27PA,AvgDelay_27PA+(DelayChange_PA*(Table3D.2_DailyTTS_PA111[[#This Row],[Year]]-2027)))</f>
        <v>6.0520370370370372E-3</v>
      </c>
    </row>
    <row r="84" spans="2:8">
      <c r="B84" s="122">
        <f>First_Year+'Q_Appendix B. Project Info'!B53</f>
        <v>2056</v>
      </c>
      <c r="C84" s="432" cm="1">
        <f t="array" ref="C84">IF(Table3D.2_DailyTTS_PA111[[#This Row],[Year]]=Closeout,Traffic_27PA,Traffic_27PA+(TrafChange_PA*(Table3D.2_DailyTTS_PA111[[#This Row],[Year]]-2027)))</f>
        <v>82213.333333333328</v>
      </c>
      <c r="D84" s="415" cm="1">
        <f t="array" ref="D84">IF(Table3D.2_DailyTTS_PA111[[#This Row],[Year]]=Closeout,VMT_27PA,VMT_27PA+(VMTChange_PA*(Table3D.2_DailyTTS_PA111[[#This Row],[Year]]-2027)))</f>
        <v>109067.37066666667</v>
      </c>
      <c r="E84" s="415" cm="1">
        <f t="array" ref="E84">IF(Table3D.2_DailyTTS_PA111[[#This Row],[Year]]=Closeout,VHT_27PA,VHT_27PA+(VHTChange_PA*(Table3D.2_DailyTTS_PA111[[#This Row],[Year]]-2027)))</f>
        <v>3098.1009373148145</v>
      </c>
      <c r="F84" s="415" cm="1">
        <f t="array" ref="F84">IF(Table3D.2_DailyTTS_PA111[[#This Row],[Year]]=Closeout,MPH_27PA,MPH_27PA+(MPHChange_PA*(Table3D.2_DailyTTS_PA111[[#This Row],[Year]]-2027)))</f>
        <v>35.866777777777777</v>
      </c>
      <c r="G84" s="415" cm="1">
        <f t="array" ref="G84">IF(Table3D.2_DailyTTS_PA111[[#This Row],[Year]]=Closeout,DelayTot_27PA,DelayTot_27PA+(DelayTotChange_PA*(Table3D.2_DailyTTS_PA111[[#This Row],[Year]]-2027)))</f>
        <v>563.70377518518512</v>
      </c>
      <c r="H84" s="431" cm="1">
        <f t="array" ref="H84">IF(Table3D.2_DailyTTS_PA111[[#This Row],[Year]]=Closeout,AvgDelay_27PA,AvgDelay_27PA+(DelayChange_PA*(Table3D.2_DailyTTS_PA111[[#This Row],[Year]]-2027)))</f>
        <v>6.0647222222222222E-3</v>
      </c>
    </row>
    <row r="85" spans="2:8">
      <c r="B85" s="122">
        <f>First_Year+'Q_Appendix B. Project Info'!B54</f>
        <v>2057</v>
      </c>
      <c r="C85" s="432" cm="1">
        <f t="array" ref="C85">IF(Table3D.2_DailyTTS_PA111[[#This Row],[Year]]=Closeout,Traffic_27PA,Traffic_27PA+(TrafChange_PA*(Table3D.2_DailyTTS_PA111[[#This Row],[Year]]-2027)))</f>
        <v>82661</v>
      </c>
      <c r="D85" s="415" cm="1">
        <f t="array" ref="D85">IF(Table3D.2_DailyTTS_PA111[[#This Row],[Year]]=Closeout,VMT_27PA,VMT_27PA+(VMTChange_PA*(Table3D.2_DailyTTS_PA111[[#This Row],[Year]]-2027)))</f>
        <v>109707.22</v>
      </c>
      <c r="E85" s="415" cm="1">
        <f t="array" ref="E85">IF(Table3D.2_DailyTTS_PA111[[#This Row],[Year]]=Closeout,VHT_27PA,VHT_27PA+(VHTChange_PA*(Table3D.2_DailyTTS_PA111[[#This Row],[Year]]-2027)))</f>
        <v>3116.9147805555554</v>
      </c>
      <c r="F85" s="415" cm="1">
        <f t="array" ref="F85">IF(Table3D.2_DailyTTS_PA111[[#This Row],[Year]]=Closeout,MPH_27PA,MPH_27PA+(MPHChange_PA*(Table3D.2_DailyTTS_PA111[[#This Row],[Year]]-2027)))</f>
        <v>35.869999999999997</v>
      </c>
      <c r="G85" s="415" cm="1">
        <f t="array" ref="G85">IF(Table3D.2_DailyTTS_PA111[[#This Row],[Year]]=Closeout,DelayTot_27PA,DelayTot_27PA+(DelayTotChange_PA*(Table3D.2_DailyTTS_PA111[[#This Row],[Year]]-2027)))</f>
        <v>568.57252222222223</v>
      </c>
      <c r="H85" s="431" cm="1">
        <f t="array" ref="H85">IF(Table3D.2_DailyTTS_PA111[[#This Row],[Year]]=Closeout,AvgDelay_27PA,AvgDelay_27PA+(DelayChange_PA*(Table3D.2_DailyTTS_PA111[[#This Row],[Year]]-2027)))</f>
        <v>6.0774074074074072E-3</v>
      </c>
    </row>
    <row r="86" spans="2:8">
      <c r="B86" s="122">
        <f>First_Year+'Q_Appendix B. Project Info'!B55</f>
        <v>2058</v>
      </c>
      <c r="C86" s="432" cm="1">
        <f t="array" ref="C86">IF(Table3D.2_DailyTTS_PA111[[#This Row],[Year]]=Closeout,Traffic_27PA,Traffic_27PA+(TrafChange_PA*(Table3D.2_DailyTTS_PA111[[#This Row],[Year]]-2027)))</f>
        <v>83108.666666666672</v>
      </c>
      <c r="D86" s="415" cm="1">
        <f t="array" ref="D86">IF(Table3D.2_DailyTTS_PA111[[#This Row],[Year]]=Closeout,VMT_27PA,VMT_27PA+(VMTChange_PA*(Table3D.2_DailyTTS_PA111[[#This Row],[Year]]-2027)))</f>
        <v>110347.06933333333</v>
      </c>
      <c r="E86" s="415" cm="1">
        <f t="array" ref="E86">IF(Table3D.2_DailyTTS_PA111[[#This Row],[Year]]=Closeout,VHT_27PA,VHT_27PA+(VHTChange_PA*(Table3D.2_DailyTTS_PA111[[#This Row],[Year]]-2027)))</f>
        <v>3135.7286237962962</v>
      </c>
      <c r="F86" s="415" cm="1">
        <f t="array" ref="F86">IF(Table3D.2_DailyTTS_PA111[[#This Row],[Year]]=Closeout,MPH_27PA,MPH_27PA+(MPHChange_PA*(Table3D.2_DailyTTS_PA111[[#This Row],[Year]]-2027)))</f>
        <v>35.873222222222218</v>
      </c>
      <c r="G86" s="415" cm="1">
        <f t="array" ref="G86">IF(Table3D.2_DailyTTS_PA111[[#This Row],[Year]]=Closeout,DelayTot_27PA,DelayTot_27PA+(DelayTotChange_PA*(Table3D.2_DailyTTS_PA111[[#This Row],[Year]]-2027)))</f>
        <v>573.44126925925923</v>
      </c>
      <c r="H86" s="431" cm="1">
        <f t="array" ref="H86">IF(Table3D.2_DailyTTS_PA111[[#This Row],[Year]]=Closeout,AvgDelay_27PA,AvgDelay_27PA+(DelayChange_PA*(Table3D.2_DailyTTS_PA111[[#This Row],[Year]]-2027)))</f>
        <v>6.0900925925925923E-3</v>
      </c>
    </row>
    <row r="87" spans="2:8">
      <c r="B87" s="81" t="s">
        <v>127</v>
      </c>
      <c r="C87" s="174">
        <f>SUBTOTAL(101,Table3D.2_DailyTTS_PA111[Total Traffic in Network (Veh/Day)])</f>
        <v>75274.499999999985</v>
      </c>
      <c r="D87" s="153">
        <f>SUBTOTAL(101,Table3D.2_DailyTTS_PA111[Vehicle Miles Traveled (VMT/Day)])</f>
        <v>99149.705999999991</v>
      </c>
      <c r="E87" s="153">
        <f>SUBTOTAL(101,Table3D.2_DailyTTS_PA111[Vehicle Hours Traveled (VHT/Day)])</f>
        <v>2806.4863670833333</v>
      </c>
      <c r="F87" s="153">
        <f>SUBTOTAL(101,Table3D.2_DailyTTS_PA111[Average Speed (MPH)])</f>
        <v>35.816833333333335</v>
      </c>
      <c r="G87" s="153">
        <f>SUBTOTAL(101,Table3D.2_DailyTTS_PA111[Total Delay (hrs/day)])</f>
        <v>488.23819611111099</v>
      </c>
      <c r="H87" s="173">
        <f>SUBTOTAL(101,Table3D.2_DailyTTS_PA111[Average Delay (Hrs/Veh/Day)])</f>
        <v>5.8681018518518535E-3</v>
      </c>
    </row>
    <row r="89" spans="2:8">
      <c r="B89" s="71" t="s">
        <v>222</v>
      </c>
    </row>
    <row r="91" spans="2:8" ht="25.5">
      <c r="B91" s="133" t="s">
        <v>21</v>
      </c>
      <c r="C91" s="122" t="s">
        <v>223</v>
      </c>
      <c r="D91" s="122" t="s">
        <v>224</v>
      </c>
      <c r="E91" s="122" t="s">
        <v>225</v>
      </c>
      <c r="F91" s="122" t="s">
        <v>226</v>
      </c>
      <c r="G91" s="133" t="s">
        <v>227</v>
      </c>
      <c r="H91" s="133" t="s">
        <v>228</v>
      </c>
    </row>
    <row r="92" spans="2:8">
      <c r="B92" s="148">
        <f>First_Year+'Q_Appendix B. Project Info'!B20</f>
        <v>2023</v>
      </c>
      <c r="C92" s="152" t="str">
        <f>IF(Table3D.3_TTSMoneySum112[[#This Row],[Year]]&gt;Closeout,((G10-G51)*0.94),"")</f>
        <v/>
      </c>
      <c r="D92" s="152" t="str">
        <f>IF(Table3D.3_TTSMoneySum112[[#This Row],[Year]]&gt;Closeout,((G10-G51)*0.06),"")</f>
        <v/>
      </c>
      <c r="E92" s="368" t="str">
        <f>IFERROR((Table3D.3_TTSMoneySum112[[#This Row],[Car Delay Savings (Hrs/Day)]]*All_Purpose_Travel*Passenger_Vehicles_Occupancy),"")</f>
        <v/>
      </c>
      <c r="F92" s="368" t="str">
        <f>IFERROR((Table3D.3_TTSMoneySum112[[#This Row],[Truck Delay Savings (Hrs/Day)]]*Truck_Travel),"")</f>
        <v/>
      </c>
      <c r="G92" s="430">
        <f>SUM(Table3D.3_TTSMoneySum112[[#This Row],[Car Savings Benefits ($/Day)]:[Truck Savings Benefits ($/Day)]])*270</f>
        <v>0</v>
      </c>
      <c r="H92" s="430">
        <f>SUM(Table3D.3_TTSMoneySum112[[#This Row],[Car Savings Benefits ($/Day)]:[Truck Savings Benefits ($/Day)]])*365</f>
        <v>0</v>
      </c>
    </row>
    <row r="93" spans="2:8">
      <c r="B93" s="148">
        <f>B92+1</f>
        <v>2024</v>
      </c>
      <c r="C93" s="152" t="str">
        <f>IF(Table3D.3_TTSMoneySum112[[#This Row],[Year]]&gt;Closeout,((G11-G52)*0.94),"")</f>
        <v/>
      </c>
      <c r="D93" s="152" t="str">
        <f>IF(Table3D.3_TTSMoneySum112[[#This Row],[Year]]&gt;Closeout,((G11-G52)*0.06),"")</f>
        <v/>
      </c>
      <c r="E93" s="368" t="str">
        <f>IFERROR((Table3D.3_TTSMoneySum112[[#This Row],[Car Delay Savings (Hrs/Day)]]*All_Purpose_Travel*Passenger_Vehicles_Occupancy),"")</f>
        <v/>
      </c>
      <c r="F93" s="368" t="str">
        <f>IFERROR((Table3D.3_TTSMoneySum112[[#This Row],[Truck Delay Savings (Hrs/Day)]]*Truck_Travel),"")</f>
        <v/>
      </c>
      <c r="G93" s="430">
        <f>SUM(Table3D.3_TTSMoneySum112[[#This Row],[Car Savings Benefits ($/Day)]:[Truck Savings Benefits ($/Day)]])*270</f>
        <v>0</v>
      </c>
      <c r="H93" s="430">
        <f>SUM(Table3D.3_TTSMoneySum112[[#This Row],[Car Savings Benefits ($/Day)]:[Truck Savings Benefits ($/Day)]])*365</f>
        <v>0</v>
      </c>
    </row>
    <row r="94" spans="2:8">
      <c r="B94" s="148">
        <f>B93+1</f>
        <v>2025</v>
      </c>
      <c r="C94" s="152" t="str">
        <f>IF(Table3D.3_TTSMoneySum112[[#This Row],[Year]]&gt;Closeout,((G12-G53)*0.94),"")</f>
        <v/>
      </c>
      <c r="D94" s="152" t="str">
        <f>IF(Table3D.3_TTSMoneySum112[[#This Row],[Year]]&gt;Closeout,((G12-G53)*0.06),"")</f>
        <v/>
      </c>
      <c r="E94" s="368" t="str">
        <f>IFERROR((Table3D.3_TTSMoneySum112[[#This Row],[Car Delay Savings (Hrs/Day)]]*All_Purpose_Travel*Passenger_Vehicles_Occupancy),"")</f>
        <v/>
      </c>
      <c r="F94" s="368" t="str">
        <f>IFERROR((Table3D.3_TTSMoneySum112[[#This Row],[Truck Delay Savings (Hrs/Day)]]*Truck_Travel),"")</f>
        <v/>
      </c>
      <c r="G94" s="430">
        <f>SUM(Table3D.3_TTSMoneySum112[[#This Row],[Car Savings Benefits ($/Day)]:[Truck Savings Benefits ($/Day)]])*270</f>
        <v>0</v>
      </c>
      <c r="H94" s="430">
        <f>SUM(Table3D.3_TTSMoneySum112[[#This Row],[Car Savings Benefits ($/Day)]:[Truck Savings Benefits ($/Day)]])*365</f>
        <v>0</v>
      </c>
    </row>
    <row r="95" spans="2:8">
      <c r="B95" s="148">
        <f>B94+1</f>
        <v>2026</v>
      </c>
      <c r="C95" s="152" t="str">
        <f>IF(Table3D.3_TTSMoneySum112[[#This Row],[Year]]&gt;Closeout,((G13-G54)*0.94),"")</f>
        <v/>
      </c>
      <c r="D95" s="152" t="str">
        <f>IF(Table3D.3_TTSMoneySum112[[#This Row],[Year]]&gt;Closeout,((G13-G54)*0.06),"")</f>
        <v/>
      </c>
      <c r="E95" s="368" t="str">
        <f>IFERROR((Table3D.3_TTSMoneySum112[[#This Row],[Car Delay Savings (Hrs/Day)]]*All_Purpose_Travel*Passenger_Vehicles_Occupancy),"")</f>
        <v/>
      </c>
      <c r="F95" s="368" t="str">
        <f>IFERROR((Table3D.3_TTSMoneySum112[[#This Row],[Truck Delay Savings (Hrs/Day)]]*Truck_Travel),"")</f>
        <v/>
      </c>
      <c r="G95" s="430">
        <f>SUM(Table3D.3_TTSMoneySum112[[#This Row],[Car Savings Benefits ($/Day)]:[Truck Savings Benefits ($/Day)]])*270</f>
        <v>0</v>
      </c>
      <c r="H95" s="430">
        <f>SUM(Table3D.3_TTSMoneySum112[[#This Row],[Car Savings Benefits ($/Day)]:[Truck Savings Benefits ($/Day)]])*365</f>
        <v>0</v>
      </c>
    </row>
    <row r="96" spans="2:8">
      <c r="B96" s="148">
        <f>Closeout</f>
        <v>2027</v>
      </c>
      <c r="C96" s="152" t="str">
        <f>IF(Table3D.3_TTSMoneySum112[[#This Row],[Year]]&gt;Closeout,((G15-G56)*0.94),"")</f>
        <v/>
      </c>
      <c r="D96" s="152" t="str">
        <f>IF(Table3D.3_TTSMoneySum112[[#This Row],[Year]]&gt;Closeout,((G15-G56)*0.06),"")</f>
        <v/>
      </c>
      <c r="E96" s="370" t="str">
        <f>IFERROR((Table3D.3_TTSMoneySum112[[#This Row],[Car Delay Savings (Hrs/Day)]]*All_Purpose_Travel*Passenger_Vehicles_Occupancy),"")</f>
        <v/>
      </c>
      <c r="F96" s="370" t="str">
        <f>IFERROR((Table3D.3_TTSMoneySum112[[#This Row],[Truck Delay Savings (Hrs/Day)]]*Truck_Travel),"")</f>
        <v/>
      </c>
      <c r="G96" s="370">
        <f>SUM(Table3D.3_TTSMoneySum112[[#This Row],[Car Savings Benefits ($/Day)]:[Truck Savings Benefits ($/Day)]])*270</f>
        <v>0</v>
      </c>
      <c r="H96" s="370">
        <f>SUM(Table3D.3_TTSMoneySum112[[#This Row],[Car Savings Benefits ($/Day)]:[Truck Savings Benefits ($/Day)]])*365</f>
        <v>0</v>
      </c>
    </row>
    <row r="97" spans="2:8">
      <c r="B97" s="148">
        <f t="shared" ref="B97:B125" si="0">B96+1</f>
        <v>2028</v>
      </c>
      <c r="C97" s="152">
        <f>IF(Table3D.3_TTSMoneySum112[[#This Row],[Year]]&gt;Closeout,((G16-G57)*0.94),"")</f>
        <v>949.6530711518518</v>
      </c>
      <c r="D97" s="152">
        <f>IF(Table3D.3_TTSMoneySum112[[#This Row],[Year]]&gt;Closeout,((G16-G57)*0.06),"")</f>
        <v>60.616153477777779</v>
      </c>
      <c r="E97" s="370">
        <f>IFERROR((Table3D.3_TTSMoneySum112[[#This Row],[Car Delay Savings (Hrs/Day)]]*All_Purpose_Travel*Passenger_Vehicles_Occupancy),"")</f>
        <v>29815.30782188354</v>
      </c>
      <c r="F97" s="370">
        <f>IFERROR((Table3D.3_TTSMoneySum112[[#This Row],[Truck Delay Savings (Hrs/Day)]]*Truck_Travel),"")</f>
        <v>1963.96337268</v>
      </c>
      <c r="G97" s="370">
        <f>SUM(Table3D.3_TTSMoneySum112[[#This Row],[Car Savings Benefits ($/Day)]:[Truck Savings Benefits ($/Day)]])*270</f>
        <v>8580403.222532155</v>
      </c>
      <c r="H97" s="370">
        <f>SUM(Table3D.3_TTSMoneySum112[[#This Row],[Car Savings Benefits ($/Day)]:[Truck Savings Benefits ($/Day)]])*365</f>
        <v>11599433.986015692</v>
      </c>
    </row>
    <row r="98" spans="2:8">
      <c r="B98" s="148">
        <f t="shared" si="0"/>
        <v>2029</v>
      </c>
      <c r="C98" s="152">
        <f>IF(Table3D.3_TTSMoneySum112[[#This Row],[Year]]&gt;Closeout,((G17-G58)*0.94),"")</f>
        <v>950.74307539444465</v>
      </c>
      <c r="D98" s="152">
        <f>IF(Table3D.3_TTSMoneySum112[[#This Row],[Year]]&gt;Closeout,((G17-G58)*0.06),"")</f>
        <v>60.685728216666675</v>
      </c>
      <c r="E98" s="370">
        <f>IFERROR((Table3D.3_TTSMoneySum112[[#This Row],[Car Delay Savings (Hrs/Day)]]*All_Purpose_Travel*Passenger_Vehicles_Occupancy),"")</f>
        <v>29849.529595083983</v>
      </c>
      <c r="F98" s="370">
        <f>IFERROR((Table3D.3_TTSMoneySum112[[#This Row],[Truck Delay Savings (Hrs/Day)]]*Truck_Travel),"")</f>
        <v>1966.2175942200001</v>
      </c>
      <c r="G98" s="370">
        <f>SUM(Table3D.3_TTSMoneySum112[[#This Row],[Car Savings Benefits ($/Day)]:[Truck Savings Benefits ($/Day)]])*270</f>
        <v>8590251.7411120757</v>
      </c>
      <c r="H98" s="370">
        <f>SUM(Table3D.3_TTSMoneySum112[[#This Row],[Car Savings Benefits ($/Day)]:[Truck Savings Benefits ($/Day)]])*365</f>
        <v>11612747.724095954</v>
      </c>
    </row>
    <row r="99" spans="2:8">
      <c r="B99" s="148">
        <f t="shared" si="0"/>
        <v>2030</v>
      </c>
      <c r="C99" s="152">
        <f>IF(Table3D.3_TTSMoneySum112[[#This Row],[Year]]&gt;Closeout,((G18-G59)*0.94),"")</f>
        <v>951.83307963703692</v>
      </c>
      <c r="D99" s="152">
        <f>IF(Table3D.3_TTSMoneySum112[[#This Row],[Year]]&gt;Closeout,((G18-G59)*0.06),"")</f>
        <v>60.75530295555555</v>
      </c>
      <c r="E99" s="370">
        <f>IFERROR((Table3D.3_TTSMoneySum112[[#This Row],[Car Delay Savings (Hrs/Day)]]*All_Purpose_Travel*Passenger_Vehicles_Occupancy),"")</f>
        <v>29883.751368284411</v>
      </c>
      <c r="F99" s="370">
        <f>IFERROR((Table3D.3_TTSMoneySum112[[#This Row],[Truck Delay Savings (Hrs/Day)]]*Truck_Travel),"")</f>
        <v>1968.4718157599998</v>
      </c>
      <c r="G99" s="370">
        <f>SUM(Table3D.3_TTSMoneySum112[[#This Row],[Car Savings Benefits ($/Day)]:[Truck Savings Benefits ($/Day)]])*270</f>
        <v>8600100.2596919909</v>
      </c>
      <c r="H99" s="370">
        <f>SUM(Table3D.3_TTSMoneySum112[[#This Row],[Car Savings Benefits ($/Day)]:[Truck Savings Benefits ($/Day)]])*365</f>
        <v>11626061.462176209</v>
      </c>
    </row>
    <row r="100" spans="2:8">
      <c r="B100" s="148">
        <f t="shared" si="0"/>
        <v>2031</v>
      </c>
      <c r="C100" s="152">
        <f>IF(Table3D.3_TTSMoneySum112[[#This Row],[Year]]&gt;Closeout,((G19-G60)*0.94),"")</f>
        <v>952.92308387962953</v>
      </c>
      <c r="D100" s="152">
        <f>IF(Table3D.3_TTSMoneySum112[[#This Row],[Year]]&gt;Closeout,((G19-G60)*0.06),"")</f>
        <v>60.824877694444439</v>
      </c>
      <c r="E100" s="370">
        <f>IFERROR((Table3D.3_TTSMoneySum112[[#This Row],[Car Delay Savings (Hrs/Day)]]*All_Purpose_Travel*Passenger_Vehicles_Occupancy),"")</f>
        <v>29917.973141484847</v>
      </c>
      <c r="F100" s="370">
        <f>IFERROR((Table3D.3_TTSMoneySum112[[#This Row],[Truck Delay Savings (Hrs/Day)]]*Truck_Travel),"")</f>
        <v>1970.7260372999997</v>
      </c>
      <c r="G100" s="370">
        <f>SUM(Table3D.3_TTSMoneySum112[[#This Row],[Car Savings Benefits ($/Day)]:[Truck Savings Benefits ($/Day)]])*270</f>
        <v>8609948.7782719079</v>
      </c>
      <c r="H100" s="370">
        <f>SUM(Table3D.3_TTSMoneySum112[[#This Row],[Car Savings Benefits ($/Day)]:[Truck Savings Benefits ($/Day)]])*365</f>
        <v>11639375.200256469</v>
      </c>
    </row>
    <row r="101" spans="2:8">
      <c r="B101" s="148">
        <f t="shared" si="0"/>
        <v>2032</v>
      </c>
      <c r="C101" s="152">
        <f>IF(Table3D.3_TTSMoneySum112[[#This Row],[Year]]&gt;Closeout,((G20-G61)*0.94),"")</f>
        <v>954.01308812222214</v>
      </c>
      <c r="D101" s="152">
        <f>IF(Table3D.3_TTSMoneySum112[[#This Row],[Year]]&gt;Closeout,((G20-G61)*0.06),"")</f>
        <v>60.894452433333328</v>
      </c>
      <c r="E101" s="370">
        <f>IFERROR((Table3D.3_TTSMoneySum112[[#This Row],[Car Delay Savings (Hrs/Day)]]*All_Purpose_Travel*Passenger_Vehicles_Occupancy),"")</f>
        <v>29952.194914685286</v>
      </c>
      <c r="F101" s="370">
        <f>IFERROR((Table3D.3_TTSMoneySum112[[#This Row],[Truck Delay Savings (Hrs/Day)]]*Truck_Travel),"")</f>
        <v>1972.9802588399998</v>
      </c>
      <c r="G101" s="370">
        <f>SUM(Table3D.3_TTSMoneySum112[[#This Row],[Car Savings Benefits ($/Day)]:[Truck Savings Benefits ($/Day)]])*270</f>
        <v>8619797.2968518268</v>
      </c>
      <c r="H101" s="370">
        <f>SUM(Table3D.3_TTSMoneySum112[[#This Row],[Car Savings Benefits ($/Day)]:[Truck Savings Benefits ($/Day)]])*365</f>
        <v>11652688.938336728</v>
      </c>
    </row>
    <row r="102" spans="2:8">
      <c r="B102" s="148">
        <f t="shared" si="0"/>
        <v>2033</v>
      </c>
      <c r="C102" s="152">
        <f>IF(Table3D.3_TTSMoneySum112[[#This Row],[Year]]&gt;Closeout,((G21-G62)*0.94),"")</f>
        <v>955.10309236481487</v>
      </c>
      <c r="D102" s="152">
        <f>IF(Table3D.3_TTSMoneySum112[[#This Row],[Year]]&gt;Closeout,((G21-G62)*0.06),"")</f>
        <v>60.964027172222224</v>
      </c>
      <c r="E102" s="370">
        <f>IFERROR((Table3D.3_TTSMoneySum112[[#This Row],[Car Delay Savings (Hrs/Day)]]*All_Purpose_Travel*Passenger_Vehicles_Occupancy),"")</f>
        <v>29986.416687885729</v>
      </c>
      <c r="F102" s="370">
        <f>IFERROR((Table3D.3_TTSMoneySum112[[#This Row],[Truck Delay Savings (Hrs/Day)]]*Truck_Travel),"")</f>
        <v>1975.2344803799999</v>
      </c>
      <c r="G102" s="370">
        <f>SUM(Table3D.3_TTSMoneySum112[[#This Row],[Car Savings Benefits ($/Day)]:[Truck Savings Benefits ($/Day)]])*270</f>
        <v>8629645.8154317476</v>
      </c>
      <c r="H102" s="370">
        <f>SUM(Table3D.3_TTSMoneySum112[[#This Row],[Car Savings Benefits ($/Day)]:[Truck Savings Benefits ($/Day)]])*365</f>
        <v>11666002.676416991</v>
      </c>
    </row>
    <row r="103" spans="2:8">
      <c r="B103" s="148">
        <f t="shared" si="0"/>
        <v>2034</v>
      </c>
      <c r="C103" s="152">
        <f>IF(Table3D.3_TTSMoneySum112[[#This Row],[Year]]&gt;Closeout,((G22-G63)*0.94),"")</f>
        <v>956.19309660740737</v>
      </c>
      <c r="D103" s="152">
        <f>IF(Table3D.3_TTSMoneySum112[[#This Row],[Year]]&gt;Closeout,((G22-G63)*0.06),"")</f>
        <v>61.033601911111113</v>
      </c>
      <c r="E103" s="370">
        <f>IFERROR((Table3D.3_TTSMoneySum112[[#This Row],[Car Delay Savings (Hrs/Day)]]*All_Purpose_Travel*Passenger_Vehicles_Occupancy),"")</f>
        <v>30020.638461086161</v>
      </c>
      <c r="F103" s="370">
        <f>IFERROR((Table3D.3_TTSMoneySum112[[#This Row],[Truck Delay Savings (Hrs/Day)]]*Truck_Travel),"")</f>
        <v>1977.48870192</v>
      </c>
      <c r="G103" s="370">
        <f>SUM(Table3D.3_TTSMoneySum112[[#This Row],[Car Savings Benefits ($/Day)]:[Truck Savings Benefits ($/Day)]])*270</f>
        <v>8639494.3340116628</v>
      </c>
      <c r="H103" s="370">
        <f>SUM(Table3D.3_TTSMoneySum112[[#This Row],[Car Savings Benefits ($/Day)]:[Truck Savings Benefits ($/Day)]])*365</f>
        <v>11679316.414497249</v>
      </c>
    </row>
    <row r="104" spans="2:8">
      <c r="B104" s="148">
        <f t="shared" si="0"/>
        <v>2035</v>
      </c>
      <c r="C104" s="152">
        <f>IF(Table3D.3_TTSMoneySum112[[#This Row],[Year]]&gt;Closeout,((G23-G64)*0.94),"")</f>
        <v>957.2831008500001</v>
      </c>
      <c r="D104" s="152">
        <f>IF(Table3D.3_TTSMoneySum112[[#This Row],[Year]]&gt;Closeout,((G23-G64)*0.06),"")</f>
        <v>61.103176650000002</v>
      </c>
      <c r="E104" s="370">
        <f>IFERROR((Table3D.3_TTSMoneySum112[[#This Row],[Car Delay Savings (Hrs/Day)]]*All_Purpose_Travel*Passenger_Vehicles_Occupancy),"")</f>
        <v>30054.860234286603</v>
      </c>
      <c r="F104" s="370">
        <f>IFERROR((Table3D.3_TTSMoneySum112[[#This Row],[Truck Delay Savings (Hrs/Day)]]*Truck_Travel),"")</f>
        <v>1979.7429234599999</v>
      </c>
      <c r="G104" s="370">
        <f>SUM(Table3D.3_TTSMoneySum112[[#This Row],[Car Savings Benefits ($/Day)]:[Truck Savings Benefits ($/Day)]])*270</f>
        <v>8649342.8525915816</v>
      </c>
      <c r="H104" s="370">
        <f>SUM(Table3D.3_TTSMoneySum112[[#This Row],[Car Savings Benefits ($/Day)]:[Truck Savings Benefits ($/Day)]])*365</f>
        <v>11692630.15257751</v>
      </c>
    </row>
    <row r="105" spans="2:8">
      <c r="B105" s="148">
        <f t="shared" si="0"/>
        <v>2036</v>
      </c>
      <c r="C105" s="152">
        <f>IF(Table3D.3_TTSMoneySum112[[#This Row],[Year]]&gt;Closeout,((G24-G65)*0.94),"")</f>
        <v>958.37310509259271</v>
      </c>
      <c r="D105" s="152">
        <f>IF(Table3D.3_TTSMoneySum112[[#This Row],[Year]]&gt;Closeout,((G24-G65)*0.06),"")</f>
        <v>61.172751388888898</v>
      </c>
      <c r="E105" s="370">
        <f>IFERROR((Table3D.3_TTSMoneySum112[[#This Row],[Car Delay Savings (Hrs/Day)]]*All_Purpose_Travel*Passenger_Vehicles_Occupancy),"")</f>
        <v>30089.082007487039</v>
      </c>
      <c r="F105" s="370">
        <f>IFERROR((Table3D.3_TTSMoneySum112[[#This Row],[Truck Delay Savings (Hrs/Day)]]*Truck_Travel),"")</f>
        <v>1981.9971450000003</v>
      </c>
      <c r="G105" s="370">
        <f>SUM(Table3D.3_TTSMoneySum112[[#This Row],[Car Savings Benefits ($/Day)]:[Truck Savings Benefits ($/Day)]])*270</f>
        <v>8659191.3711715005</v>
      </c>
      <c r="H105" s="370">
        <f>SUM(Table3D.3_TTSMoneySum112[[#This Row],[Car Savings Benefits ($/Day)]:[Truck Savings Benefits ($/Day)]])*365</f>
        <v>11705943.89065777</v>
      </c>
    </row>
    <row r="106" spans="2:8">
      <c r="B106" s="148">
        <f t="shared" si="0"/>
        <v>2037</v>
      </c>
      <c r="C106" s="152">
        <f>IF(Table3D.3_TTSMoneySum112[[#This Row],[Year]]&gt;Closeout,((G25-G66)*0.94),"")</f>
        <v>959.46310933518532</v>
      </c>
      <c r="D106" s="152">
        <f>IF(Table3D.3_TTSMoneySum112[[#This Row],[Year]]&gt;Closeout,((G25-G66)*0.06),"")</f>
        <v>61.242326127777787</v>
      </c>
      <c r="E106" s="370">
        <f>IFERROR((Table3D.3_TTSMoneySum112[[#This Row],[Car Delay Savings (Hrs/Day)]]*All_Purpose_Travel*Passenger_Vehicles_Occupancy),"")</f>
        <v>30123.303780687478</v>
      </c>
      <c r="F106" s="370">
        <f>IFERROR((Table3D.3_TTSMoneySum112[[#This Row],[Truck Delay Savings (Hrs/Day)]]*Truck_Travel),"")</f>
        <v>1984.2513665400002</v>
      </c>
      <c r="G106" s="370">
        <f>SUM(Table3D.3_TTSMoneySum112[[#This Row],[Car Savings Benefits ($/Day)]:[Truck Savings Benefits ($/Day)]])*270</f>
        <v>8669039.8897514194</v>
      </c>
      <c r="H106" s="370">
        <f>SUM(Table3D.3_TTSMoneySum112[[#This Row],[Car Savings Benefits ($/Day)]:[Truck Savings Benefits ($/Day)]])*365</f>
        <v>11719257.628738029</v>
      </c>
    </row>
    <row r="107" spans="2:8">
      <c r="B107" s="148">
        <f t="shared" si="0"/>
        <v>2038</v>
      </c>
      <c r="C107" s="152">
        <f>IF(Table3D.3_TTSMoneySum112[[#This Row],[Year]]&gt;Closeout,((G26-G67)*0.94),"")</f>
        <v>960.55311357777771</v>
      </c>
      <c r="D107" s="152">
        <f>IF(Table3D.3_TTSMoneySum112[[#This Row],[Year]]&gt;Closeout,((G26-G67)*0.06),"")</f>
        <v>61.311900866666662</v>
      </c>
      <c r="E107" s="370">
        <f>IFERROR((Table3D.3_TTSMoneySum112[[#This Row],[Car Delay Savings (Hrs/Day)]]*All_Purpose_Travel*Passenger_Vehicles_Occupancy),"")</f>
        <v>30157.52555388791</v>
      </c>
      <c r="F107" s="370">
        <f>IFERROR((Table3D.3_TTSMoneySum112[[#This Row],[Truck Delay Savings (Hrs/Day)]]*Truck_Travel),"")</f>
        <v>1986.5055880799998</v>
      </c>
      <c r="G107" s="370">
        <f>SUM(Table3D.3_TTSMoneySum112[[#This Row],[Car Savings Benefits ($/Day)]:[Truck Savings Benefits ($/Day)]])*270</f>
        <v>8678888.4083313346</v>
      </c>
      <c r="H107" s="370">
        <f>SUM(Table3D.3_TTSMoneySum112[[#This Row],[Car Savings Benefits ($/Day)]:[Truck Savings Benefits ($/Day)]])*365</f>
        <v>11732571.366818286</v>
      </c>
    </row>
    <row r="108" spans="2:8">
      <c r="B108" s="148">
        <f t="shared" si="0"/>
        <v>2039</v>
      </c>
      <c r="C108" s="152">
        <f>IF(Table3D.3_TTSMoneySum112[[#This Row],[Year]]&gt;Closeout,((G27-G68)*0.94),"")</f>
        <v>961.64311782037043</v>
      </c>
      <c r="D108" s="152">
        <f>IF(Table3D.3_TTSMoneySum112[[#This Row],[Year]]&gt;Closeout,((G27-G68)*0.06),"")</f>
        <v>61.381475605555558</v>
      </c>
      <c r="E108" s="370">
        <f>IFERROR((Table3D.3_TTSMoneySum112[[#This Row],[Car Delay Savings (Hrs/Day)]]*All_Purpose_Travel*Passenger_Vehicles_Occupancy),"")</f>
        <v>30191.747327088346</v>
      </c>
      <c r="F108" s="370">
        <f>IFERROR((Table3D.3_TTSMoneySum112[[#This Row],[Truck Delay Savings (Hrs/Day)]]*Truck_Travel),"")</f>
        <v>1988.7598096199999</v>
      </c>
      <c r="G108" s="370">
        <f>SUM(Table3D.3_TTSMoneySum112[[#This Row],[Car Savings Benefits ($/Day)]:[Truck Savings Benefits ($/Day)]])*270</f>
        <v>8688736.9269112535</v>
      </c>
      <c r="H108" s="370">
        <f>SUM(Table3D.3_TTSMoneySum112[[#This Row],[Car Savings Benefits ($/Day)]:[Truck Savings Benefits ($/Day)]])*365</f>
        <v>11745885.104898546</v>
      </c>
    </row>
    <row r="109" spans="2:8">
      <c r="B109" s="148">
        <f t="shared" si="0"/>
        <v>2040</v>
      </c>
      <c r="C109" s="152">
        <f>IF(Table3D.3_TTSMoneySum112[[#This Row],[Year]]&gt;Closeout,((G28-G69)*0.94),"")</f>
        <v>962.73312206296293</v>
      </c>
      <c r="D109" s="152">
        <f>IF(Table3D.3_TTSMoneySum112[[#This Row],[Year]]&gt;Closeout,((G28-G69)*0.06),"")</f>
        <v>61.451050344444447</v>
      </c>
      <c r="E109" s="370">
        <f>IFERROR((Table3D.3_TTSMoneySum112[[#This Row],[Car Delay Savings (Hrs/Day)]]*All_Purpose_Travel*Passenger_Vehicles_Occupancy),"")</f>
        <v>30225.969100288785</v>
      </c>
      <c r="F109" s="370">
        <f>IFERROR((Table3D.3_TTSMoneySum112[[#This Row],[Truck Delay Savings (Hrs/Day)]]*Truck_Travel),"")</f>
        <v>1991.0140311600001</v>
      </c>
      <c r="G109" s="370">
        <f>SUM(Table3D.3_TTSMoneySum112[[#This Row],[Car Savings Benefits ($/Day)]:[Truck Savings Benefits ($/Day)]])*270</f>
        <v>8698585.4454911724</v>
      </c>
      <c r="H109" s="370">
        <f>SUM(Table3D.3_TTSMoneySum112[[#This Row],[Car Savings Benefits ($/Day)]:[Truck Savings Benefits ($/Day)]])*365</f>
        <v>11759198.842978807</v>
      </c>
    </row>
    <row r="110" spans="2:8">
      <c r="B110" s="148">
        <f t="shared" si="0"/>
        <v>2041</v>
      </c>
      <c r="C110" s="152">
        <f>IF(Table3D.3_TTSMoneySum112[[#This Row],[Year]]&gt;Closeout,((G29-G70)*0.94),"")</f>
        <v>963.82312630555555</v>
      </c>
      <c r="D110" s="152">
        <f>IF(Table3D.3_TTSMoneySum112[[#This Row],[Year]]&gt;Closeout,((G29-G70)*0.06),"")</f>
        <v>61.520625083333329</v>
      </c>
      <c r="E110" s="370">
        <f>IFERROR((Table3D.3_TTSMoneySum112[[#This Row],[Car Delay Savings (Hrs/Day)]]*All_Purpose_Travel*Passenger_Vehicles_Occupancy),"")</f>
        <v>30260.190873489224</v>
      </c>
      <c r="F110" s="370">
        <f>IFERROR((Table3D.3_TTSMoneySum112[[#This Row],[Truck Delay Savings (Hrs/Day)]]*Truck_Travel),"")</f>
        <v>1993.2682526999997</v>
      </c>
      <c r="G110" s="370">
        <f>SUM(Table3D.3_TTSMoneySum112[[#This Row],[Car Savings Benefits ($/Day)]:[Truck Savings Benefits ($/Day)]])*270</f>
        <v>8708433.9640710913</v>
      </c>
      <c r="H110" s="370">
        <f>SUM(Table3D.3_TTSMoneySum112[[#This Row],[Car Savings Benefits ($/Day)]:[Truck Savings Benefits ($/Day)]])*365</f>
        <v>11772512.581059067</v>
      </c>
    </row>
    <row r="111" spans="2:8">
      <c r="B111" s="148">
        <f t="shared" si="0"/>
        <v>2042</v>
      </c>
      <c r="C111" s="152">
        <f>IF(Table3D.3_TTSMoneySum112[[#This Row],[Year]]&gt;Closeout,((G30-G71)*0.94),"")</f>
        <v>964.91313054814827</v>
      </c>
      <c r="D111" s="152">
        <f>IF(Table3D.3_TTSMoneySum112[[#This Row],[Year]]&gt;Closeout,((G30-G71)*0.06),"")</f>
        <v>61.590199822222232</v>
      </c>
      <c r="E111" s="370">
        <f>IFERROR((Table3D.3_TTSMoneySum112[[#This Row],[Car Delay Savings (Hrs/Day)]]*All_Purpose_Travel*Passenger_Vehicles_Occupancy),"")</f>
        <v>30294.412646689667</v>
      </c>
      <c r="F111" s="370">
        <f>IFERROR((Table3D.3_TTSMoneySum112[[#This Row],[Truck Delay Savings (Hrs/Day)]]*Truck_Travel),"")</f>
        <v>1995.5224742400003</v>
      </c>
      <c r="G111" s="370">
        <f>SUM(Table3D.3_TTSMoneySum112[[#This Row],[Car Savings Benefits ($/Day)]:[Truck Savings Benefits ($/Day)]])*270</f>
        <v>8718282.4826510102</v>
      </c>
      <c r="H111" s="370">
        <f>SUM(Table3D.3_TTSMoneySum112[[#This Row],[Car Savings Benefits ($/Day)]:[Truck Savings Benefits ($/Day)]])*365</f>
        <v>11785826.319139328</v>
      </c>
    </row>
    <row r="112" spans="2:8">
      <c r="B112" s="148">
        <f t="shared" si="0"/>
        <v>2043</v>
      </c>
      <c r="C112" s="152">
        <f>IF(Table3D.3_TTSMoneySum112[[#This Row],[Year]]&gt;Closeout,((G31-G72)*0.94),"")</f>
        <v>966.00313479074089</v>
      </c>
      <c r="D112" s="152">
        <f>IF(Table3D.3_TTSMoneySum112[[#This Row],[Year]]&gt;Closeout,((G31-G72)*0.06),"")</f>
        <v>61.659774561111121</v>
      </c>
      <c r="E112" s="370">
        <f>IFERROR((Table3D.3_TTSMoneySum112[[#This Row],[Car Delay Savings (Hrs/Day)]]*All_Purpose_Travel*Passenger_Vehicles_Occupancy),"")</f>
        <v>30328.634419890102</v>
      </c>
      <c r="F112" s="370">
        <f>IFERROR((Table3D.3_TTSMoneySum112[[#This Row],[Truck Delay Savings (Hrs/Day)]]*Truck_Travel),"")</f>
        <v>1997.7766957800002</v>
      </c>
      <c r="G112" s="370">
        <f>SUM(Table3D.3_TTSMoneySum112[[#This Row],[Car Savings Benefits ($/Day)]:[Truck Savings Benefits ($/Day)]])*270</f>
        <v>8728131.0012309272</v>
      </c>
      <c r="H112" s="370">
        <f>SUM(Table3D.3_TTSMoneySum112[[#This Row],[Car Savings Benefits ($/Day)]:[Truck Savings Benefits ($/Day)]])*365</f>
        <v>11799140.057219587</v>
      </c>
    </row>
    <row r="113" spans="2:8">
      <c r="B113" s="148">
        <f t="shared" si="0"/>
        <v>2044</v>
      </c>
      <c r="C113" s="152">
        <f>IF(Table3D.3_TTSMoneySum112[[#This Row],[Year]]&gt;Closeout,((G32-G73)*0.94),"")</f>
        <v>967.09313903333339</v>
      </c>
      <c r="D113" s="152">
        <f>IF(Table3D.3_TTSMoneySum112[[#This Row],[Year]]&gt;Closeout,((G32-G73)*0.06),"")</f>
        <v>61.729349300000003</v>
      </c>
      <c r="E113" s="370">
        <f>IFERROR((Table3D.3_TTSMoneySum112[[#This Row],[Car Delay Savings (Hrs/Day)]]*All_Purpose_Travel*Passenger_Vehicles_Occupancy),"")</f>
        <v>30362.856193090534</v>
      </c>
      <c r="F113" s="370">
        <f>IFERROR((Table3D.3_TTSMoneySum112[[#This Row],[Truck Delay Savings (Hrs/Day)]]*Truck_Travel),"")</f>
        <v>2000.0309173200001</v>
      </c>
      <c r="G113" s="370">
        <f>SUM(Table3D.3_TTSMoneySum112[[#This Row],[Car Savings Benefits ($/Day)]:[Truck Savings Benefits ($/Day)]])*270</f>
        <v>8737979.5198108442</v>
      </c>
      <c r="H113" s="370">
        <f>SUM(Table3D.3_TTSMoneySum112[[#This Row],[Car Savings Benefits ($/Day)]:[Truck Savings Benefits ($/Day)]])*365</f>
        <v>11812453.795299845</v>
      </c>
    </row>
    <row r="114" spans="2:8">
      <c r="B114" s="148">
        <f t="shared" si="0"/>
        <v>2045</v>
      </c>
      <c r="C114" s="152">
        <f>IF(Table3D.3_TTSMoneySum112[[#This Row],[Year]]&gt;Closeout,((G33-G74)*0.94),"")</f>
        <v>968.18314327592623</v>
      </c>
      <c r="D114" s="152">
        <f>IF(Table3D.3_TTSMoneySum112[[#This Row],[Year]]&gt;Closeout,((G33-G74)*0.06),"")</f>
        <v>61.798924038888906</v>
      </c>
      <c r="E114" s="370">
        <f>IFERROR((Table3D.3_TTSMoneySum112[[#This Row],[Car Delay Savings (Hrs/Day)]]*All_Purpose_Travel*Passenger_Vehicles_Occupancy),"")</f>
        <v>30397.077966290977</v>
      </c>
      <c r="F114" s="370">
        <f>IFERROR((Table3D.3_TTSMoneySum112[[#This Row],[Truck Delay Savings (Hrs/Day)]]*Truck_Travel),"")</f>
        <v>2002.2851388600004</v>
      </c>
      <c r="G114" s="370">
        <f>SUM(Table3D.3_TTSMoneySum112[[#This Row],[Car Savings Benefits ($/Day)]:[Truck Savings Benefits ($/Day)]])*270</f>
        <v>8747828.0383907631</v>
      </c>
      <c r="H114" s="370">
        <f>SUM(Table3D.3_TTSMoneySum112[[#This Row],[Car Savings Benefits ($/Day)]:[Truck Savings Benefits ($/Day)]])*365</f>
        <v>11825767.533380106</v>
      </c>
    </row>
    <row r="115" spans="2:8">
      <c r="B115" s="148">
        <f t="shared" si="0"/>
        <v>2046</v>
      </c>
      <c r="C115" s="152">
        <f>IF(Table3D.3_TTSMoneySum112[[#This Row],[Year]]&gt;Closeout,((G34-G75)*0.94),"")</f>
        <v>969.2731475185185</v>
      </c>
      <c r="D115" s="152">
        <f>IF(Table3D.3_TTSMoneySum112[[#This Row],[Year]]&gt;Closeout,((G34-G75)*0.06),"")</f>
        <v>61.868498777777781</v>
      </c>
      <c r="E115" s="370">
        <f>IFERROR((Table3D.3_TTSMoneySum112[[#This Row],[Car Delay Savings (Hrs/Day)]]*All_Purpose_Travel*Passenger_Vehicles_Occupancy),"")</f>
        <v>30431.299739491405</v>
      </c>
      <c r="F115" s="370">
        <f>IFERROR((Table3D.3_TTSMoneySum112[[#This Row],[Truck Delay Savings (Hrs/Day)]]*Truck_Travel),"")</f>
        <v>2004.5393604000001</v>
      </c>
      <c r="G115" s="370">
        <f>SUM(Table3D.3_TTSMoneySum112[[#This Row],[Car Savings Benefits ($/Day)]:[Truck Savings Benefits ($/Day)]])*270</f>
        <v>8757676.5569706783</v>
      </c>
      <c r="H115" s="370">
        <f>SUM(Table3D.3_TTSMoneySum112[[#This Row],[Car Savings Benefits ($/Day)]:[Truck Savings Benefits ($/Day)]])*365</f>
        <v>11839081.271460362</v>
      </c>
    </row>
    <row r="116" spans="2:8">
      <c r="B116" s="148">
        <f t="shared" si="0"/>
        <v>2047</v>
      </c>
      <c r="C116" s="152">
        <f>IF(Table3D.3_TTSMoneySum112[[#This Row],[Year]]&gt;Closeout,((G35-G76)*0.94),"")</f>
        <v>970.36315176111111</v>
      </c>
      <c r="D116" s="152">
        <f>IF(Table3D.3_TTSMoneySum112[[#This Row],[Year]]&gt;Closeout,((G35-G76)*0.06),"")</f>
        <v>61.938073516666662</v>
      </c>
      <c r="E116" s="370">
        <f>IFERROR((Table3D.3_TTSMoneySum112[[#This Row],[Car Delay Savings (Hrs/Day)]]*All_Purpose_Travel*Passenger_Vehicles_Occupancy),"")</f>
        <v>30465.521512691841</v>
      </c>
      <c r="F116" s="370">
        <f>IFERROR((Table3D.3_TTSMoneySum112[[#This Row],[Truck Delay Savings (Hrs/Day)]]*Truck_Travel),"")</f>
        <v>2006.7935819399997</v>
      </c>
      <c r="G116" s="370">
        <f>SUM(Table3D.3_TTSMoneySum112[[#This Row],[Car Savings Benefits ($/Day)]:[Truck Savings Benefits ($/Day)]])*270</f>
        <v>8767525.0755505972</v>
      </c>
      <c r="H116" s="370">
        <f>SUM(Table3D.3_TTSMoneySum112[[#This Row],[Car Savings Benefits ($/Day)]:[Truck Savings Benefits ($/Day)]])*365</f>
        <v>11852395.009540623</v>
      </c>
    </row>
    <row r="117" spans="2:8">
      <c r="B117" s="148">
        <f t="shared" si="0"/>
        <v>2048</v>
      </c>
      <c r="C117" s="152">
        <f>IF(Table3D.3_TTSMoneySum112[[#This Row],[Year]]&gt;Closeout,((G36-G77)*0.94),"")</f>
        <v>971.45315600370384</v>
      </c>
      <c r="D117" s="152">
        <f>IF(Table3D.3_TTSMoneySum112[[#This Row],[Year]]&gt;Closeout,((G36-G77)*0.06),"")</f>
        <v>62.007648255555566</v>
      </c>
      <c r="E117" s="370">
        <f>IFERROR((Table3D.3_TTSMoneySum112[[#This Row],[Car Delay Savings (Hrs/Day)]]*All_Purpose_Travel*Passenger_Vehicles_Occupancy),"")</f>
        <v>30499.743285892284</v>
      </c>
      <c r="F117" s="370">
        <f>IFERROR((Table3D.3_TTSMoneySum112[[#This Row],[Truck Delay Savings (Hrs/Day)]]*Truck_Travel),"")</f>
        <v>2009.0478034800003</v>
      </c>
      <c r="G117" s="370">
        <f>SUM(Table3D.3_TTSMoneySum112[[#This Row],[Car Savings Benefits ($/Day)]:[Truck Savings Benefits ($/Day)]])*270</f>
        <v>8777373.5941305161</v>
      </c>
      <c r="H117" s="370">
        <f>SUM(Table3D.3_TTSMoneySum112[[#This Row],[Car Savings Benefits ($/Day)]:[Truck Savings Benefits ($/Day)]])*365</f>
        <v>11865708.747620884</v>
      </c>
    </row>
    <row r="118" spans="2:8">
      <c r="B118" s="148">
        <f t="shared" si="0"/>
        <v>2049</v>
      </c>
      <c r="C118" s="152">
        <f>IF(Table3D.3_TTSMoneySum112[[#This Row],[Year]]&gt;Closeout,((G37-G78)*0.94),"")</f>
        <v>972.54316024629645</v>
      </c>
      <c r="D118" s="152">
        <f>IF(Table3D.3_TTSMoneySum112[[#This Row],[Year]]&gt;Closeout,((G37-G78)*0.06),"")</f>
        <v>62.077222994444455</v>
      </c>
      <c r="E118" s="370">
        <f>IFERROR((Table3D.3_TTSMoneySum112[[#This Row],[Car Delay Savings (Hrs/Day)]]*All_Purpose_Travel*Passenger_Vehicles_Occupancy),"")</f>
        <v>30533.965059092723</v>
      </c>
      <c r="F118" s="370">
        <f>IFERROR((Table3D.3_TTSMoneySum112[[#This Row],[Truck Delay Savings (Hrs/Day)]]*Truck_Travel),"")</f>
        <v>2011.3020250200002</v>
      </c>
      <c r="G118" s="370">
        <f>SUM(Table3D.3_TTSMoneySum112[[#This Row],[Car Savings Benefits ($/Day)]:[Truck Savings Benefits ($/Day)]])*270</f>
        <v>8787222.1127104349</v>
      </c>
      <c r="H118" s="370">
        <f>SUM(Table3D.3_TTSMoneySum112[[#This Row],[Car Savings Benefits ($/Day)]:[Truck Savings Benefits ($/Day)]])*365</f>
        <v>11879022.485701144</v>
      </c>
    </row>
    <row r="119" spans="2:8">
      <c r="B119" s="148">
        <f t="shared" si="0"/>
        <v>2050</v>
      </c>
      <c r="C119" s="152">
        <f>IF(Table3D.3_TTSMoneySum112[[#This Row],[Year]]&gt;Closeout,((G38-G79)*0.94),"")</f>
        <v>973.63316448888895</v>
      </c>
      <c r="D119" s="152">
        <f>IF(Table3D.3_TTSMoneySum112[[#This Row],[Year]]&gt;Closeout,((G38-G79)*0.06),"")</f>
        <v>62.146797733333337</v>
      </c>
      <c r="E119" s="370">
        <f>IFERROR((Table3D.3_TTSMoneySum112[[#This Row],[Car Delay Savings (Hrs/Day)]]*All_Purpose_Travel*Passenger_Vehicles_Occupancy),"")</f>
        <v>30568.186832293159</v>
      </c>
      <c r="F119" s="370">
        <f>IFERROR((Table3D.3_TTSMoneySum112[[#This Row],[Truck Delay Savings (Hrs/Day)]]*Truck_Travel),"")</f>
        <v>2013.5562465600001</v>
      </c>
      <c r="G119" s="370">
        <f>SUM(Table3D.3_TTSMoneySum112[[#This Row],[Car Savings Benefits ($/Day)]:[Truck Savings Benefits ($/Day)]])*270</f>
        <v>8797070.6312903538</v>
      </c>
      <c r="H119" s="370">
        <f>SUM(Table3D.3_TTSMoneySum112[[#This Row],[Car Savings Benefits ($/Day)]:[Truck Savings Benefits ($/Day)]])*365</f>
        <v>11892336.223781403</v>
      </c>
    </row>
    <row r="120" spans="2:8">
      <c r="B120" s="148">
        <f t="shared" si="0"/>
        <v>2051</v>
      </c>
      <c r="C120" s="152">
        <f>IF(Table3D.3_TTSMoneySum112[[#This Row],[Year]]&gt;Closeout,((G39-G80)*0.94),"")</f>
        <v>974.72316873148156</v>
      </c>
      <c r="D120" s="152">
        <f>IF(Table3D.3_TTSMoneySum112[[#This Row],[Year]]&gt;Closeout,((G39-G80)*0.06),"")</f>
        <v>62.216372472222226</v>
      </c>
      <c r="E120" s="370">
        <f>IFERROR((Table3D.3_TTSMoneySum112[[#This Row],[Car Delay Savings (Hrs/Day)]]*All_Purpose_Travel*Passenger_Vehicles_Occupancy),"")</f>
        <v>30602.408605493598</v>
      </c>
      <c r="F120" s="370">
        <f>IFERROR((Table3D.3_TTSMoneySum112[[#This Row],[Truck Delay Savings (Hrs/Day)]]*Truck_Travel),"")</f>
        <v>2015.8104681</v>
      </c>
      <c r="G120" s="370">
        <f>SUM(Table3D.3_TTSMoneySum112[[#This Row],[Car Savings Benefits ($/Day)]:[Truck Savings Benefits ($/Day)]])*270</f>
        <v>8806919.1498702709</v>
      </c>
      <c r="H120" s="370">
        <f>SUM(Table3D.3_TTSMoneySum112[[#This Row],[Car Savings Benefits ($/Day)]:[Truck Savings Benefits ($/Day)]])*365</f>
        <v>11905649.961861663</v>
      </c>
    </row>
    <row r="121" spans="2:8">
      <c r="B121" s="148">
        <f t="shared" si="0"/>
        <v>2052</v>
      </c>
      <c r="C121" s="152">
        <f>IF(Table3D.3_TTSMoneySum112[[#This Row],[Year]]&gt;Closeout,((G40-G81)*0.94),"")</f>
        <v>975.81317297407429</v>
      </c>
      <c r="D121" s="152">
        <f>IF(Table3D.3_TTSMoneySum112[[#This Row],[Year]]&gt;Closeout,((G40-G81)*0.06),"")</f>
        <v>62.285947211111129</v>
      </c>
      <c r="E121" s="370">
        <f>IFERROR((Table3D.3_TTSMoneySum112[[#This Row],[Car Delay Savings (Hrs/Day)]]*All_Purpose_Travel*Passenger_Vehicles_Occupancy),"")</f>
        <v>30636.630378694033</v>
      </c>
      <c r="F121" s="370">
        <f>IFERROR((Table3D.3_TTSMoneySum112[[#This Row],[Truck Delay Savings (Hrs/Day)]]*Truck_Travel),"")</f>
        <v>2018.0646896400006</v>
      </c>
      <c r="G121" s="370">
        <f>SUM(Table3D.3_TTSMoneySum112[[#This Row],[Car Savings Benefits ($/Day)]:[Truck Savings Benefits ($/Day)]])*270</f>
        <v>8816767.6684501898</v>
      </c>
      <c r="H121" s="370">
        <f>SUM(Table3D.3_TTSMoneySum112[[#This Row],[Car Savings Benefits ($/Day)]:[Truck Savings Benefits ($/Day)]])*365</f>
        <v>11918963.699941922</v>
      </c>
    </row>
    <row r="122" spans="2:8">
      <c r="B122" s="148">
        <f t="shared" si="0"/>
        <v>2053</v>
      </c>
      <c r="C122" s="152">
        <f>IF(Table3D.3_TTSMoneySum112[[#This Row],[Year]]&gt;Closeout,((G41-G82)*0.94),"")</f>
        <v>976.90317721666668</v>
      </c>
      <c r="D122" s="152">
        <f>IF(Table3D.3_TTSMoneySum112[[#This Row],[Year]]&gt;Closeout,((G41-G82)*0.06),"")</f>
        <v>62.355521949999996</v>
      </c>
      <c r="E122" s="370">
        <f>IFERROR((Table3D.3_TTSMoneySum112[[#This Row],[Car Delay Savings (Hrs/Day)]]*All_Purpose_Travel*Passenger_Vehicles_Occupancy),"")</f>
        <v>30670.852151894465</v>
      </c>
      <c r="F122" s="370">
        <f>IFERROR((Table3D.3_TTSMoneySum112[[#This Row],[Truck Delay Savings (Hrs/Day)]]*Truck_Travel),"")</f>
        <v>2020.3189111799998</v>
      </c>
      <c r="G122" s="370">
        <f>SUM(Table3D.3_TTSMoneySum112[[#This Row],[Car Savings Benefits ($/Day)]:[Truck Savings Benefits ($/Day)]])*270</f>
        <v>8826616.1870301049</v>
      </c>
      <c r="H122" s="370">
        <f>SUM(Table3D.3_TTSMoneySum112[[#This Row],[Car Savings Benefits ($/Day)]:[Truck Savings Benefits ($/Day)]])*365</f>
        <v>11932277.43802218</v>
      </c>
    </row>
    <row r="123" spans="2:8">
      <c r="B123" s="148">
        <f t="shared" si="0"/>
        <v>2054</v>
      </c>
      <c r="C123" s="152">
        <f>IF(Table3D.3_TTSMoneySum112[[#This Row],[Year]]&gt;Closeout,((G42-G83)*0.94),"")</f>
        <v>977.99318145925918</v>
      </c>
      <c r="D123" s="152">
        <f>IF(Table3D.3_TTSMoneySum112[[#This Row],[Year]]&gt;Closeout,((G42-G83)*0.06),"")</f>
        <v>62.425096688888885</v>
      </c>
      <c r="E123" s="370">
        <f>IFERROR((Table3D.3_TTSMoneySum112[[#This Row],[Car Delay Savings (Hrs/Day)]]*All_Purpose_Travel*Passenger_Vehicles_Occupancy),"")</f>
        <v>30705.073925094897</v>
      </c>
      <c r="F123" s="370">
        <f>IFERROR((Table3D.3_TTSMoneySum112[[#This Row],[Truck Delay Savings (Hrs/Day)]]*Truck_Travel),"")</f>
        <v>2022.5731327199999</v>
      </c>
      <c r="G123" s="370">
        <f>SUM(Table3D.3_TTSMoneySum112[[#This Row],[Car Savings Benefits ($/Day)]:[Truck Savings Benefits ($/Day)]])*270</f>
        <v>8836464.7056100219</v>
      </c>
      <c r="H123" s="370">
        <f>SUM(Table3D.3_TTSMoneySum112[[#This Row],[Car Savings Benefits ($/Day)]:[Truck Savings Benefits ($/Day)]])*365</f>
        <v>11945591.176102437</v>
      </c>
    </row>
    <row r="124" spans="2:8">
      <c r="B124" s="148">
        <f t="shared" si="0"/>
        <v>2055</v>
      </c>
      <c r="C124" s="152">
        <f>IF(Table3D.3_TTSMoneySum112[[#This Row],[Year]]&gt;Closeout,((G43-G84)*0.94),"")</f>
        <v>979.08318570185202</v>
      </c>
      <c r="D124" s="152">
        <f>IF(Table3D.3_TTSMoneySum112[[#This Row],[Year]]&gt;Closeout,((G43-G84)*0.06),"")</f>
        <v>62.494671427777789</v>
      </c>
      <c r="E124" s="370">
        <f>IFERROR((Table3D.3_TTSMoneySum112[[#This Row],[Car Delay Savings (Hrs/Day)]]*All_Purpose_Travel*Passenger_Vehicles_Occupancy),"")</f>
        <v>30739.295698295347</v>
      </c>
      <c r="F124" s="370">
        <f>IFERROR((Table3D.3_TTSMoneySum112[[#This Row],[Truck Delay Savings (Hrs/Day)]]*Truck_Travel),"")</f>
        <v>2024.8273542600002</v>
      </c>
      <c r="G124" s="370">
        <f>SUM(Table3D.3_TTSMoneySum112[[#This Row],[Car Savings Benefits ($/Day)]:[Truck Savings Benefits ($/Day)]])*270</f>
        <v>8846313.2241899446</v>
      </c>
      <c r="H124" s="370">
        <f>SUM(Table3D.3_TTSMoneySum112[[#This Row],[Car Savings Benefits ($/Day)]:[Truck Savings Benefits ($/Day)]])*365</f>
        <v>11958904.914182702</v>
      </c>
    </row>
    <row r="125" spans="2:8">
      <c r="B125" s="148">
        <f t="shared" si="0"/>
        <v>2056</v>
      </c>
      <c r="C125" s="152">
        <f>IF(Table3D.3_TTSMoneySum112[[#This Row],[Year]]&gt;Closeout,((G44-G85)*0.94),"")</f>
        <v>980.17318994444452</v>
      </c>
      <c r="D125" s="152">
        <f>IF(Table3D.3_TTSMoneySum112[[#This Row],[Year]]&gt;Closeout,((G44-G85)*0.06),"")</f>
        <v>62.56424616666667</v>
      </c>
      <c r="E125" s="370">
        <f>IFERROR((Table3D.3_TTSMoneySum112[[#This Row],[Car Delay Savings (Hrs/Day)]]*All_Purpose_Travel*Passenger_Vehicles_Occupancy),"")</f>
        <v>30773.517471495779</v>
      </c>
      <c r="F125" s="370">
        <f>IFERROR((Table3D.3_TTSMoneySum112[[#This Row],[Truck Delay Savings (Hrs/Day)]]*Truck_Travel),"")</f>
        <v>2027.0815758000001</v>
      </c>
      <c r="G125" s="370">
        <f>SUM(Table3D.3_TTSMoneySum112[[#This Row],[Car Savings Benefits ($/Day)]:[Truck Savings Benefits ($/Day)]])*270</f>
        <v>8856161.7427698597</v>
      </c>
      <c r="H125" s="370">
        <f>SUM(Table3D.3_TTSMoneySum112[[#This Row],[Car Savings Benefits ($/Day)]:[Truck Savings Benefits ($/Day)]])*365</f>
        <v>11972218.65226296</v>
      </c>
    </row>
    <row r="126" spans="2:8">
      <c r="B126" s="148">
        <f>B125+1</f>
        <v>2057</v>
      </c>
      <c r="C126" s="152">
        <f>IF(Table3D.3_TTSMoneySum112[[#This Row],[Year]]&gt;Closeout,((G44-G85)*0.94),"")</f>
        <v>980.17318994444452</v>
      </c>
      <c r="D126" s="152">
        <f>IF(Table3D.3_TTSMoneySum112[[#This Row],[Year]]&gt;Closeout,((G44-G85)*0.06),"")</f>
        <v>62.56424616666667</v>
      </c>
      <c r="E126" s="175">
        <f>IFERROR((Table3D.3_TTSMoneySum112[[#This Row],[Car Delay Savings (Hrs/Day)]]*All_Purpose_Travel*Passenger_Vehicles_Occupancy),"")</f>
        <v>30773.517471495779</v>
      </c>
      <c r="F126" s="175">
        <f>IFERROR((Table3D.3_TTSMoneySum112[[#This Row],[Truck Delay Savings (Hrs/Day)]]*Truck_Travel),"")</f>
        <v>2027.0815758000001</v>
      </c>
      <c r="G126" s="175">
        <f>SUM(Table3D.3_TTSMoneySum112[[#This Row],[Car Savings Benefits ($/Day)]:[Truck Savings Benefits ($/Day)]])*270</f>
        <v>8856161.7427698597</v>
      </c>
      <c r="H126" s="175">
        <f>SUM(Table3D.3_TTSMoneySum112[[#This Row],[Car Savings Benefits ($/Day)]:[Truck Savings Benefits ($/Day)]])*365</f>
        <v>11972218.65226296</v>
      </c>
    </row>
    <row r="127" spans="2:8">
      <c r="B127" s="148">
        <f>B126+1</f>
        <v>2058</v>
      </c>
      <c r="C127" s="152">
        <f>IF(Table3D.3_TTSMoneySum112[[#This Row],[Year]]&gt;Closeout,((G45-G86)*0.94),"")</f>
        <v>981.26319418703736</v>
      </c>
      <c r="D127" s="152">
        <f>IF(Table3D.3_TTSMoneySum112[[#This Row],[Year]]&gt;Closeout,((G45-G86)*0.06),"")</f>
        <v>62.633820905555574</v>
      </c>
      <c r="E127" s="370">
        <f>IFERROR((Table3D.3_TTSMoneySum112[[#This Row],[Car Delay Savings (Hrs/Day)]]*All_Purpose_Travel*Passenger_Vehicles_Occupancy),"")</f>
        <v>30807.739244696222</v>
      </c>
      <c r="F127" s="370">
        <f>IFERROR((Table3D.3_TTSMoneySum112[[#This Row],[Truck Delay Savings (Hrs/Day)]]*Truck_Travel),"")</f>
        <v>2029.3357973400005</v>
      </c>
      <c r="G127" s="370">
        <f>SUM(Table3D.3_TTSMoneySum112[[#This Row],[Car Savings Benefits ($/Day)]:[Truck Savings Benefits ($/Day)]])*270</f>
        <v>8866010.2613497805</v>
      </c>
      <c r="H127" s="370">
        <f>SUM(Table3D.3_TTSMoneySum112[[#This Row],[Car Savings Benefits ($/Day)]:[Truck Savings Benefits ($/Day)]])*365</f>
        <v>11985532.390343221</v>
      </c>
    </row>
    <row r="128" spans="2:8">
      <c r="B128" s="148" t="s">
        <v>28</v>
      </c>
      <c r="C128" s="152">
        <f>SUBTOTAL(101,Table3D.3_TTSMoneySum112[Car Delay Savings (Hrs/Day)])</f>
        <v>965.93281193638006</v>
      </c>
      <c r="D128" s="152">
        <f>SUBTOTAL(101,Table3D.3_TTSMoneySum112[Truck Delay Savings (Hrs/Day)])</f>
        <v>61.65528586827957</v>
      </c>
      <c r="E128" s="176">
        <f>SUBTOTAL(109,Table3D.3_TTSMoneySum112[Car Savings Benefits ($/Day)])</f>
        <v>940119.2234701924</v>
      </c>
      <c r="F128" s="176">
        <f>SUBTOTAL(109,Table3D.3_TTSMoneySum112[Truck Savings Benefits ($/Day)])</f>
        <v>61926.569126100003</v>
      </c>
      <c r="G128" s="176">
        <f>SUBTOTAL(109,Table3D.3_TTSMoneySum112[Annual Benefits, Low (270 Days)])</f>
        <v>270552364.00099891</v>
      </c>
      <c r="H128" s="176">
        <f>SUBTOTAL(109,Table3D.3_TTSMoneySum112[Annual Benefits, High (365 Days)])</f>
        <v>365746714.29764682</v>
      </c>
    </row>
  </sheetData>
  <mergeCells count="1">
    <mergeCell ref="A1:I1"/>
  </mergeCells>
  <dataValidations count="1">
    <dataValidation allowBlank="1" showInputMessage="1" showErrorMessage="1" sqref="A1" xr:uid="{E88EA2BE-3D98-4D9F-BA80-4408BF1867BA}"/>
  </dataValidations>
  <pageMargins left="0.7" right="0.7" top="0.75" bottom="0.75" header="0.3" footer="0.3"/>
  <pageSetup scale="66" fitToHeight="0" orientation="landscape" r:id="rId1"/>
  <rowBreaks count="2" manualBreakCount="2">
    <brk id="46" max="16383" man="1"/>
    <brk id="87" max="16383" man="1"/>
  </rowBreaks>
  <drawing r:id="rId2"/>
  <tableParts count="3">
    <tablePart r:id="rId3"/>
    <tablePart r:id="rId4"/>
    <tablePart r:id="rId5"/>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E566D-BBEF-4771-BC3B-AF43DC3ED098}">
  <sheetPr>
    <tabColor rgb="FFFF0000"/>
    <pageSetUpPr fitToPage="1"/>
  </sheetPr>
  <dimension ref="A1:I21"/>
  <sheetViews>
    <sheetView showGridLines="0" workbookViewId="0">
      <selection activeCell="B7" sqref="B7:I7"/>
    </sheetView>
  </sheetViews>
  <sheetFormatPr defaultColWidth="9.140625" defaultRowHeight="12.75"/>
  <cols>
    <col min="1" max="1" width="21.7109375" style="76" customWidth="1"/>
    <col min="2" max="2" width="15.7109375" style="61" customWidth="1"/>
    <col min="3" max="3" width="17" style="61" customWidth="1"/>
    <col min="4" max="4" width="23" style="61" customWidth="1"/>
    <col min="5" max="5" width="19.28515625" style="61" customWidth="1"/>
    <col min="6" max="8" width="15.7109375" style="61" customWidth="1"/>
    <col min="9" max="9" width="21.7109375" style="61" customWidth="1"/>
    <col min="10" max="16384" width="9.140625" style="61"/>
  </cols>
  <sheetData>
    <row r="1" spans="1:9" ht="15" customHeight="1">
      <c r="A1" s="555" t="s">
        <v>441</v>
      </c>
      <c r="B1" s="556"/>
      <c r="C1" s="556"/>
      <c r="D1" s="556"/>
      <c r="E1" s="556"/>
      <c r="F1" s="556"/>
      <c r="G1" s="556"/>
      <c r="H1" s="556"/>
      <c r="I1" s="556"/>
    </row>
    <row r="2" spans="1:9" ht="15" customHeight="1">
      <c r="A2" s="87" t="s">
        <v>1</v>
      </c>
      <c r="B2" s="71" t="str">
        <f>Project_Name</f>
        <v>Completing the I-95 Missing Move and Quonset Connector Ramps</v>
      </c>
      <c r="C2" s="82"/>
      <c r="D2" s="82"/>
      <c r="E2" s="82"/>
      <c r="F2" s="82"/>
      <c r="G2" s="82"/>
      <c r="H2" s="82"/>
      <c r="I2" s="82"/>
    </row>
    <row r="3" spans="1:9" ht="15" customHeight="1">
      <c r="A3" s="87" t="s">
        <v>2</v>
      </c>
      <c r="B3" s="71" t="s">
        <v>29</v>
      </c>
      <c r="C3" s="82"/>
      <c r="D3" s="82"/>
      <c r="E3" s="82"/>
      <c r="F3" s="82"/>
      <c r="G3" s="82"/>
      <c r="H3" s="82"/>
      <c r="I3" s="82"/>
    </row>
    <row r="4" spans="1:9" ht="15" customHeight="1">
      <c r="A4" s="87" t="s">
        <v>4</v>
      </c>
      <c r="B4" s="88">
        <f>Date</f>
        <v>45159</v>
      </c>
      <c r="C4" s="82"/>
      <c r="D4" s="82"/>
      <c r="E4" s="82"/>
      <c r="F4" s="82"/>
      <c r="G4" s="82"/>
      <c r="H4" s="82"/>
      <c r="I4" s="82"/>
    </row>
    <row r="5" spans="1:9" ht="30" customHeight="1" thickBot="1">
      <c r="A5" s="82"/>
      <c r="B5" s="82"/>
      <c r="C5" s="82"/>
      <c r="D5" s="82"/>
      <c r="E5" s="82"/>
      <c r="F5" s="82"/>
      <c r="G5" s="82"/>
      <c r="H5" s="82"/>
      <c r="I5" s="82"/>
    </row>
    <row r="6" spans="1:9" ht="102.75" customHeight="1" thickBot="1">
      <c r="A6" s="102" t="s">
        <v>99</v>
      </c>
      <c r="B6" s="489" t="s">
        <v>442</v>
      </c>
      <c r="C6" s="494"/>
      <c r="D6" s="494"/>
      <c r="E6" s="494"/>
      <c r="F6" s="494"/>
      <c r="G6" s="494"/>
      <c r="H6" s="494"/>
      <c r="I6" s="495"/>
    </row>
    <row r="7" spans="1:9" ht="46.5" customHeight="1" thickBot="1">
      <c r="A7" s="102" t="s">
        <v>101</v>
      </c>
      <c r="B7" s="489" t="s">
        <v>443</v>
      </c>
      <c r="C7" s="490"/>
      <c r="D7" s="490"/>
      <c r="E7" s="490"/>
      <c r="F7" s="490"/>
      <c r="G7" s="490"/>
      <c r="H7" s="490"/>
      <c r="I7" s="491"/>
    </row>
    <row r="8" spans="1:9" ht="46.5" customHeight="1" thickBot="1">
      <c r="A8" s="102" t="s">
        <v>103</v>
      </c>
      <c r="B8" s="489" t="s">
        <v>97</v>
      </c>
      <c r="C8" s="490"/>
      <c r="D8" s="490"/>
      <c r="E8" s="490"/>
      <c r="F8" s="490"/>
      <c r="G8" s="490"/>
      <c r="H8" s="490"/>
      <c r="I8" s="491"/>
    </row>
    <row r="9" spans="1:9" ht="46.5" customHeight="1" thickBot="1">
      <c r="A9" s="102" t="s">
        <v>105</v>
      </c>
      <c r="B9" s="489" t="s">
        <v>444</v>
      </c>
      <c r="C9" s="490"/>
      <c r="D9" s="490"/>
      <c r="E9" s="490"/>
      <c r="F9" s="490"/>
      <c r="G9" s="490"/>
      <c r="H9" s="490"/>
      <c r="I9" s="491"/>
    </row>
    <row r="10" spans="1:9" ht="46.5" customHeight="1" thickBot="1">
      <c r="A10" s="102" t="s">
        <v>107</v>
      </c>
      <c r="B10" s="489" t="s">
        <v>445</v>
      </c>
      <c r="C10" s="490"/>
      <c r="D10" s="490"/>
      <c r="E10" s="490"/>
      <c r="F10" s="490"/>
      <c r="G10" s="490"/>
      <c r="H10" s="490"/>
      <c r="I10" s="491"/>
    </row>
    <row r="11" spans="1:9">
      <c r="A11" s="103"/>
      <c r="B11" s="104"/>
      <c r="C11" s="104"/>
      <c r="D11" s="104"/>
      <c r="E11" s="104"/>
    </row>
    <row r="12" spans="1:9">
      <c r="A12" s="103"/>
      <c r="B12" s="221" t="s">
        <v>446</v>
      </c>
      <c r="C12" s="104"/>
      <c r="D12" s="104"/>
      <c r="E12" s="104"/>
    </row>
    <row r="13" spans="1:9">
      <c r="A13" s="103"/>
      <c r="B13" s="104"/>
      <c r="C13" s="104"/>
      <c r="D13" s="104"/>
      <c r="E13" s="104"/>
    </row>
    <row r="14" spans="1:9" ht="25.5">
      <c r="A14" s="61"/>
      <c r="B14" s="97" t="s">
        <v>447</v>
      </c>
      <c r="C14" s="97" t="s">
        <v>448</v>
      </c>
      <c r="D14" s="89" t="s">
        <v>449</v>
      </c>
      <c r="E14" s="89" t="s">
        <v>450</v>
      </c>
      <c r="F14" s="89" t="s">
        <v>451</v>
      </c>
      <c r="G14" s="89" t="s">
        <v>452</v>
      </c>
    </row>
    <row r="15" spans="1:9">
      <c r="A15" s="61"/>
      <c r="B15" s="122" t="s">
        <v>453</v>
      </c>
      <c r="C15" s="122" t="s">
        <v>453</v>
      </c>
      <c r="D15" s="122">
        <v>2022</v>
      </c>
      <c r="E15" s="220">
        <f>Table46[[#This Row],[Total 
($)]]*0.9</f>
        <v>630000</v>
      </c>
      <c r="F15" s="220">
        <f>Table46[[#This Row],[Total 
($)]]*0.1</f>
        <v>70000</v>
      </c>
      <c r="G15" s="220">
        <v>700000</v>
      </c>
    </row>
    <row r="16" spans="1:9" ht="38.25">
      <c r="A16" s="61"/>
      <c r="B16" s="122" t="s">
        <v>453</v>
      </c>
      <c r="C16" s="122" t="s">
        <v>454</v>
      </c>
      <c r="D16" s="122">
        <v>2023</v>
      </c>
      <c r="E16" s="220">
        <f>Table46[[#This Row],[Total 
($)]]*0.9</f>
        <v>4851000</v>
      </c>
      <c r="F16" s="220">
        <f>Table46[[#This Row],[Total 
($)]]*0.1</f>
        <v>539000</v>
      </c>
      <c r="G16" s="220">
        <f>8760000-Table46113[[#This Row],[Total 
($)]]-'Q_10. Future Eligible Costs'!G15-700000</f>
        <v>5390000</v>
      </c>
    </row>
    <row r="17" spans="1:7" ht="25.5">
      <c r="A17" s="61"/>
      <c r="B17" s="122" t="s">
        <v>453</v>
      </c>
      <c r="C17" s="122" t="s">
        <v>455</v>
      </c>
      <c r="D17" s="122">
        <v>2024</v>
      </c>
      <c r="E17" s="220">
        <f>Table46[[#This Row],[Total 
($)]]*0.9</f>
        <v>43650000</v>
      </c>
      <c r="F17" s="220">
        <f>Table46[[#This Row],[Total 
($)]]*0.1</f>
        <v>4850000</v>
      </c>
      <c r="G17" s="220">
        <v>48500000</v>
      </c>
    </row>
    <row r="18" spans="1:7" ht="25.5">
      <c r="A18" s="61"/>
      <c r="B18" s="122" t="s">
        <v>456</v>
      </c>
      <c r="C18" s="122" t="s">
        <v>457</v>
      </c>
      <c r="D18" s="122">
        <v>2025</v>
      </c>
      <c r="E18" s="220">
        <f>Table46[[#This Row],[Total 
($)]]*0.9</f>
        <v>16380000</v>
      </c>
      <c r="F18" s="220">
        <f>Table46[[#This Row],[Total 
($)]]*0.1</f>
        <v>1820000</v>
      </c>
      <c r="G18" s="220">
        <v>18200000</v>
      </c>
    </row>
    <row r="19" spans="1:7" ht="25.5">
      <c r="A19" s="61"/>
      <c r="B19" s="122" t="s">
        <v>456</v>
      </c>
      <c r="C19" s="122" t="s">
        <v>458</v>
      </c>
      <c r="D19" s="122">
        <v>2026</v>
      </c>
      <c r="E19" s="220">
        <f>Table46[[#This Row],[Total 
($)]]*0.9</f>
        <v>6660000</v>
      </c>
      <c r="F19" s="220">
        <f>Table46[[#This Row],[Total 
($)]]*0.1</f>
        <v>740000</v>
      </c>
      <c r="G19" s="220">
        <v>7400000</v>
      </c>
    </row>
    <row r="20" spans="1:7">
      <c r="A20" s="61"/>
      <c r="B20" s="122" t="s">
        <v>456</v>
      </c>
      <c r="C20" s="122" t="s">
        <v>459</v>
      </c>
      <c r="D20" s="122">
        <v>2027</v>
      </c>
      <c r="E20" s="220">
        <f>Table46[[#This Row],[Total 
($)]]*0.9</f>
        <v>9729000</v>
      </c>
      <c r="F20" s="220">
        <f>Table46[[#This Row],[Total 
($)]]*0.1</f>
        <v>1081000</v>
      </c>
      <c r="G20" s="220">
        <v>10810000</v>
      </c>
    </row>
    <row r="21" spans="1:7">
      <c r="A21" s="61"/>
      <c r="B21" s="127" t="s">
        <v>28</v>
      </c>
      <c r="C21" s="127"/>
      <c r="D21" s="122"/>
      <c r="E21" s="126">
        <f>SUBTOTAL(109,Table46[Expected Cost ($)])</f>
        <v>81900000</v>
      </c>
      <c r="F21" s="126">
        <f>SUBTOTAL(109,Table46[Contingency 
($)])</f>
        <v>9100000</v>
      </c>
      <c r="G21" s="126">
        <f>SUBTOTAL(109,Table46[Total 
($)])</f>
        <v>91000000</v>
      </c>
    </row>
  </sheetData>
  <mergeCells count="6">
    <mergeCell ref="B10:I10"/>
    <mergeCell ref="A1:I1"/>
    <mergeCell ref="B6:I6"/>
    <mergeCell ref="B7:I7"/>
    <mergeCell ref="B8:I8"/>
    <mergeCell ref="B9:I9"/>
  </mergeCells>
  <pageMargins left="0.7" right="0.7" top="0.75" bottom="0.75" header="0.3" footer="0.3"/>
  <pageSetup scale="75" fitToHeight="0" orientation="landscape" r:id="rId1"/>
  <drawing r:id="rId2"/>
  <tableParts count="1">
    <tablePart r:id="rId3"/>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DC221-C9AA-48CA-AA42-688AC23C0BC8}">
  <sheetPr>
    <tabColor rgb="FFFF0000"/>
    <pageSetUpPr fitToPage="1"/>
  </sheetPr>
  <dimension ref="A1:I21"/>
  <sheetViews>
    <sheetView showGridLines="0" workbookViewId="0">
      <selection activeCell="B9" sqref="B9:I9"/>
    </sheetView>
  </sheetViews>
  <sheetFormatPr defaultColWidth="9.140625" defaultRowHeight="12.75"/>
  <cols>
    <col min="1" max="1" width="21.7109375" style="76" customWidth="1"/>
    <col min="2" max="2" width="15.7109375" style="61" customWidth="1"/>
    <col min="3" max="3" width="17" style="61" customWidth="1"/>
    <col min="4" max="4" width="23" style="61" customWidth="1"/>
    <col min="5" max="5" width="19.28515625" style="61" customWidth="1"/>
    <col min="6" max="8" width="15.7109375" style="61" customWidth="1"/>
    <col min="9" max="9" width="21.7109375" style="61" customWidth="1"/>
    <col min="10" max="16384" width="9.140625" style="61"/>
  </cols>
  <sheetData>
    <row r="1" spans="1:9" ht="15" customHeight="1">
      <c r="A1" s="555" t="s">
        <v>441</v>
      </c>
      <c r="B1" s="556"/>
      <c r="C1" s="556"/>
      <c r="D1" s="556"/>
      <c r="E1" s="556"/>
      <c r="F1" s="556"/>
      <c r="G1" s="556"/>
      <c r="H1" s="556"/>
      <c r="I1" s="556"/>
    </row>
    <row r="2" spans="1:9" ht="15" customHeight="1">
      <c r="A2" s="87" t="s">
        <v>1</v>
      </c>
      <c r="B2" s="71" t="str">
        <f>Project_Name</f>
        <v>Completing the I-95 Missing Move and Quonset Connector Ramps</v>
      </c>
      <c r="C2" s="82"/>
      <c r="D2" s="82"/>
      <c r="E2" s="82"/>
      <c r="F2" s="82"/>
      <c r="G2" s="82"/>
      <c r="H2" s="82"/>
      <c r="I2" s="82"/>
    </row>
    <row r="3" spans="1:9" ht="15" customHeight="1">
      <c r="A3" s="87" t="s">
        <v>2</v>
      </c>
      <c r="B3" s="71" t="s">
        <v>56</v>
      </c>
      <c r="C3" s="82"/>
      <c r="D3" s="82"/>
      <c r="E3" s="82"/>
      <c r="F3" s="82"/>
      <c r="G3" s="82"/>
      <c r="H3" s="82"/>
      <c r="I3" s="82"/>
    </row>
    <row r="4" spans="1:9" ht="15" customHeight="1">
      <c r="A4" s="87" t="s">
        <v>4</v>
      </c>
      <c r="B4" s="88">
        <f>Date</f>
        <v>45159</v>
      </c>
      <c r="C4" s="82"/>
      <c r="D4" s="82"/>
      <c r="E4" s="82"/>
      <c r="F4" s="82"/>
      <c r="G4" s="82"/>
      <c r="H4" s="82"/>
      <c r="I4" s="82"/>
    </row>
    <row r="5" spans="1:9" ht="30" customHeight="1" thickBot="1">
      <c r="A5" s="82"/>
      <c r="B5" s="82"/>
      <c r="C5" s="82"/>
      <c r="D5" s="82"/>
      <c r="E5" s="82"/>
      <c r="F5" s="82"/>
      <c r="G5" s="82"/>
      <c r="H5" s="82"/>
      <c r="I5" s="82"/>
    </row>
    <row r="6" spans="1:9" ht="100.5" customHeight="1" thickBot="1">
      <c r="A6" s="102" t="s">
        <v>99</v>
      </c>
      <c r="B6" s="489" t="s">
        <v>460</v>
      </c>
      <c r="C6" s="494"/>
      <c r="D6" s="494"/>
      <c r="E6" s="494"/>
      <c r="F6" s="494"/>
      <c r="G6" s="494"/>
      <c r="H6" s="494"/>
      <c r="I6" s="495"/>
    </row>
    <row r="7" spans="1:9" ht="50.25" customHeight="1" thickBot="1">
      <c r="A7" s="102" t="s">
        <v>101</v>
      </c>
      <c r="B7" s="489" t="s">
        <v>443</v>
      </c>
      <c r="C7" s="490"/>
      <c r="D7" s="490"/>
      <c r="E7" s="490"/>
      <c r="F7" s="490"/>
      <c r="G7" s="490"/>
      <c r="H7" s="490"/>
      <c r="I7" s="491"/>
    </row>
    <row r="8" spans="1:9" ht="50.25" customHeight="1" thickBot="1">
      <c r="A8" s="102" t="s">
        <v>103</v>
      </c>
      <c r="B8" s="489" t="s">
        <v>97</v>
      </c>
      <c r="C8" s="490"/>
      <c r="D8" s="490"/>
      <c r="E8" s="490"/>
      <c r="F8" s="490"/>
      <c r="G8" s="490"/>
      <c r="H8" s="490"/>
      <c r="I8" s="491"/>
    </row>
    <row r="9" spans="1:9" ht="50.25" customHeight="1" thickBot="1">
      <c r="A9" s="102" t="s">
        <v>105</v>
      </c>
      <c r="B9" s="489" t="s">
        <v>444</v>
      </c>
      <c r="C9" s="490"/>
      <c r="D9" s="490"/>
      <c r="E9" s="490"/>
      <c r="F9" s="490"/>
      <c r="G9" s="490"/>
      <c r="H9" s="490"/>
      <c r="I9" s="491"/>
    </row>
    <row r="10" spans="1:9" ht="50.25" customHeight="1" thickBot="1">
      <c r="A10" s="102" t="s">
        <v>107</v>
      </c>
      <c r="B10" s="489" t="s">
        <v>445</v>
      </c>
      <c r="C10" s="490"/>
      <c r="D10" s="490"/>
      <c r="E10" s="490"/>
      <c r="F10" s="490"/>
      <c r="G10" s="490"/>
      <c r="H10" s="490"/>
      <c r="I10" s="491"/>
    </row>
    <row r="11" spans="1:9">
      <c r="A11" s="103"/>
      <c r="B11" s="104"/>
      <c r="C11" s="104"/>
      <c r="D11" s="104"/>
      <c r="E11" s="104"/>
    </row>
    <row r="12" spans="1:9">
      <c r="A12" s="103"/>
      <c r="B12" s="221" t="s">
        <v>446</v>
      </c>
      <c r="C12" s="104"/>
      <c r="D12" s="104"/>
      <c r="E12" s="104"/>
    </row>
    <row r="13" spans="1:9">
      <c r="A13" s="103"/>
      <c r="B13" s="104"/>
      <c r="C13" s="104"/>
      <c r="D13" s="104"/>
      <c r="E13" s="104"/>
    </row>
    <row r="14" spans="1:9" ht="25.5">
      <c r="A14" s="61"/>
      <c r="B14" s="97" t="s">
        <v>447</v>
      </c>
      <c r="C14" s="97" t="s">
        <v>448</v>
      </c>
      <c r="D14" s="89" t="s">
        <v>449</v>
      </c>
      <c r="E14" s="89" t="s">
        <v>450</v>
      </c>
      <c r="F14" s="89" t="s">
        <v>451</v>
      </c>
      <c r="G14" s="89" t="s">
        <v>452</v>
      </c>
      <c r="H14" s="89"/>
      <c r="I14" s="89"/>
    </row>
    <row r="15" spans="1:9">
      <c r="A15" s="61"/>
      <c r="B15" s="122" t="s">
        <v>453</v>
      </c>
      <c r="C15" s="122" t="s">
        <v>453</v>
      </c>
      <c r="D15" s="122">
        <v>2022</v>
      </c>
      <c r="E15" s="220">
        <f>Table46113[[#This Row],[Total 
($)]]*0.9</f>
        <v>432000</v>
      </c>
      <c r="F15" s="220">
        <f>Table46113[[#This Row],[Total 
($)]]*0.1</f>
        <v>48000</v>
      </c>
      <c r="G15" s="220">
        <v>480000</v>
      </c>
      <c r="H15" s="442"/>
      <c r="I15" s="442"/>
    </row>
    <row r="16" spans="1:9" ht="38.25">
      <c r="A16" s="61"/>
      <c r="B16" s="122" t="s">
        <v>453</v>
      </c>
      <c r="C16" s="122" t="s">
        <v>454</v>
      </c>
      <c r="D16" s="122">
        <v>2023</v>
      </c>
      <c r="E16" s="220">
        <f>Table46113[[#This Row],[Total 
($)]]*0.9</f>
        <v>1971000</v>
      </c>
      <c r="F16" s="220">
        <f>Table46113[[#This Row],[Total 
($)]]*0.1</f>
        <v>219000</v>
      </c>
      <c r="G16" s="220">
        <f>8760000/4</f>
        <v>2190000</v>
      </c>
      <c r="H16" s="442"/>
      <c r="I16" s="442"/>
    </row>
    <row r="17" spans="1:9" ht="25.5">
      <c r="A17" s="61"/>
      <c r="B17" s="122" t="s">
        <v>453</v>
      </c>
      <c r="C17" s="122" t="s">
        <v>455</v>
      </c>
      <c r="D17" s="122">
        <v>2024</v>
      </c>
      <c r="E17" s="220">
        <f>Table46113[[#This Row],[Total 
($)]]*0.9</f>
        <v>17910000</v>
      </c>
      <c r="F17" s="220">
        <f>Table46113[[#This Row],[Total 
($)]]*0.1</f>
        <v>1990000</v>
      </c>
      <c r="G17" s="220">
        <v>19900000</v>
      </c>
      <c r="H17" s="442"/>
      <c r="I17" s="442"/>
    </row>
    <row r="18" spans="1:9" ht="25.5">
      <c r="A18" s="61"/>
      <c r="B18" s="122" t="s">
        <v>456</v>
      </c>
      <c r="C18" s="122" t="s">
        <v>457</v>
      </c>
      <c r="D18" s="122">
        <v>2025</v>
      </c>
      <c r="E18" s="220">
        <f>Table46113[[#This Row],[Total 
($)]]*0.9</f>
        <v>9810000</v>
      </c>
      <c r="F18" s="220">
        <f>Table46113[[#This Row],[Total 
($)]]*0.1</f>
        <v>1090000</v>
      </c>
      <c r="G18" s="220">
        <v>10900000</v>
      </c>
      <c r="H18" s="442"/>
      <c r="I18" s="442"/>
    </row>
    <row r="19" spans="1:9" ht="25.5">
      <c r="A19" s="61"/>
      <c r="B19" s="122" t="s">
        <v>456</v>
      </c>
      <c r="C19" s="122" t="s">
        <v>458</v>
      </c>
      <c r="D19" s="122">
        <v>2026</v>
      </c>
      <c r="E19" s="220">
        <f>Table46113[[#This Row],[Total 
($)]]*0.9</f>
        <v>4612500</v>
      </c>
      <c r="F19" s="220">
        <f>Table46113[[#This Row],[Total 
($)]]*0.1</f>
        <v>512500</v>
      </c>
      <c r="G19" s="220">
        <v>5125000</v>
      </c>
      <c r="H19" s="442"/>
      <c r="I19" s="442"/>
    </row>
    <row r="20" spans="1:9">
      <c r="A20" s="61"/>
      <c r="B20" s="122" t="s">
        <v>456</v>
      </c>
      <c r="C20" s="122" t="s">
        <v>459</v>
      </c>
      <c r="D20" s="122">
        <v>2027</v>
      </c>
      <c r="E20" s="220">
        <f>Table46113[[#This Row],[Total 
($)]]*0.9</f>
        <v>4864500</v>
      </c>
      <c r="F20" s="220">
        <f>Table46113[[#This Row],[Total 
($)]]*0.1</f>
        <v>540500</v>
      </c>
      <c r="G20" s="220">
        <f>16215000/3</f>
        <v>5405000</v>
      </c>
      <c r="H20" s="442"/>
      <c r="I20" s="442"/>
    </row>
    <row r="21" spans="1:9">
      <c r="A21" s="61"/>
      <c r="B21" s="127" t="s">
        <v>28</v>
      </c>
      <c r="C21" s="127"/>
      <c r="D21" s="122"/>
      <c r="E21" s="126">
        <f>SUBTOTAL(109,Table46113[Expected Cost ($)])</f>
        <v>39600000</v>
      </c>
      <c r="F21" s="126">
        <f>SUBTOTAL(109,Table46113[Contingency 
($)])</f>
        <v>4400000</v>
      </c>
      <c r="G21" s="126">
        <f>SUBTOTAL(109,Table46113[Total 
($)])</f>
        <v>44000000</v>
      </c>
      <c r="H21" s="126"/>
      <c r="I21" s="126"/>
    </row>
  </sheetData>
  <mergeCells count="6">
    <mergeCell ref="B10:I10"/>
    <mergeCell ref="A1:I1"/>
    <mergeCell ref="B6:I6"/>
    <mergeCell ref="B7:I7"/>
    <mergeCell ref="B8:I8"/>
    <mergeCell ref="B9:I9"/>
  </mergeCells>
  <dataValidations count="1">
    <dataValidation allowBlank="1" showInputMessage="1" showErrorMessage="1" sqref="A1" xr:uid="{48F64725-4A65-4BAE-83F8-65FA8E5129C8}"/>
  </dataValidations>
  <pageMargins left="0.7" right="0.7" top="0.75" bottom="0.75" header="0.3" footer="0.3"/>
  <pageSetup scale="75" fitToHeight="0" orientation="landscape" r:id="rId1"/>
  <drawing r:id="rId2"/>
  <tableParts count="1">
    <tablePart r:id="rId3"/>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pageSetUpPr fitToPage="1"/>
  </sheetPr>
  <dimension ref="A1:I32"/>
  <sheetViews>
    <sheetView showGridLines="0" zoomScaleNormal="100" workbookViewId="0">
      <selection activeCell="L14" sqref="L14"/>
    </sheetView>
  </sheetViews>
  <sheetFormatPr defaultColWidth="9.140625" defaultRowHeight="12.75"/>
  <cols>
    <col min="1" max="1" width="21.85546875" style="61" customWidth="1"/>
    <col min="2" max="2" width="22.85546875" style="61" customWidth="1"/>
    <col min="3" max="3" width="11.28515625" style="61" customWidth="1"/>
    <col min="4" max="6" width="9.140625" style="61"/>
    <col min="7" max="7" width="19.140625" style="61" customWidth="1"/>
    <col min="8" max="8" width="9.140625" style="61"/>
    <col min="9" max="9" width="9.28515625" style="61" customWidth="1"/>
    <col min="10" max="16384" width="9.140625" style="61"/>
  </cols>
  <sheetData>
    <row r="1" spans="1:9" ht="15" customHeight="1">
      <c r="A1" s="555" t="s">
        <v>461</v>
      </c>
      <c r="B1" s="556"/>
      <c r="C1" s="556"/>
      <c r="D1" s="556"/>
      <c r="E1" s="556"/>
      <c r="F1" s="556"/>
      <c r="G1" s="556"/>
      <c r="H1" s="556"/>
      <c r="I1" s="556"/>
    </row>
    <row r="2" spans="1:9" ht="15" customHeight="1">
      <c r="A2" s="62" t="s">
        <v>1</v>
      </c>
      <c r="B2" s="71" t="str">
        <f>Project_Name</f>
        <v>Completing the I-95 Missing Move and Quonset Connector Ramps</v>
      </c>
    </row>
    <row r="3" spans="1:9" ht="15" customHeight="1">
      <c r="A3" s="62" t="s">
        <v>2</v>
      </c>
      <c r="B3" s="71" t="s">
        <v>29</v>
      </c>
    </row>
    <row r="4" spans="1:9" ht="15" customHeight="1">
      <c r="A4" s="62" t="s">
        <v>4</v>
      </c>
      <c r="B4" s="72">
        <f>Date</f>
        <v>45159</v>
      </c>
    </row>
    <row r="5" spans="1:9" ht="26.25" customHeight="1"/>
    <row r="6" spans="1:9" ht="13.5" thickBot="1">
      <c r="A6" s="66"/>
      <c r="B6" s="66"/>
      <c r="C6" s="66"/>
      <c r="D6" s="66"/>
      <c r="E6" s="66"/>
      <c r="F6" s="66"/>
      <c r="G6" s="66"/>
      <c r="H6" s="66"/>
      <c r="I6" s="66"/>
    </row>
    <row r="7" spans="1:9" ht="30" customHeight="1" thickBot="1">
      <c r="A7" s="102" t="s">
        <v>99</v>
      </c>
      <c r="B7" s="489" t="s">
        <v>462</v>
      </c>
      <c r="C7" s="490"/>
      <c r="D7" s="490"/>
      <c r="E7" s="490"/>
      <c r="F7" s="490"/>
      <c r="G7" s="490"/>
      <c r="H7" s="490"/>
      <c r="I7" s="491"/>
    </row>
    <row r="8" spans="1:9" ht="67.5" customHeight="1" thickBot="1">
      <c r="A8" s="102" t="s">
        <v>101</v>
      </c>
      <c r="B8" s="489" t="s">
        <v>463</v>
      </c>
      <c r="C8" s="490"/>
      <c r="D8" s="490"/>
      <c r="E8" s="490"/>
      <c r="F8" s="490"/>
      <c r="G8" s="490"/>
      <c r="H8" s="490"/>
      <c r="I8" s="491"/>
    </row>
    <row r="9" spans="1:9" ht="30" customHeight="1" thickBot="1">
      <c r="A9" s="102" t="s">
        <v>103</v>
      </c>
      <c r="B9" s="489" t="s">
        <v>464</v>
      </c>
      <c r="C9" s="490"/>
      <c r="D9" s="490"/>
      <c r="E9" s="490"/>
      <c r="F9" s="490"/>
      <c r="G9" s="490"/>
      <c r="H9" s="490"/>
      <c r="I9" s="491"/>
    </row>
    <row r="10" spans="1:9" ht="30" customHeight="1" thickBot="1">
      <c r="A10" s="102" t="s">
        <v>105</v>
      </c>
      <c r="B10" s="489" t="s">
        <v>465</v>
      </c>
      <c r="C10" s="490"/>
      <c r="D10" s="490"/>
      <c r="E10" s="490"/>
      <c r="F10" s="490"/>
      <c r="G10" s="490"/>
      <c r="H10" s="490"/>
      <c r="I10" s="491"/>
    </row>
    <row r="11" spans="1:9" ht="54.75" customHeight="1" thickBot="1">
      <c r="A11" s="102" t="s">
        <v>107</v>
      </c>
      <c r="B11" s="489" t="s">
        <v>466</v>
      </c>
      <c r="C11" s="490"/>
      <c r="D11" s="490"/>
      <c r="E11" s="490"/>
      <c r="F11" s="490"/>
      <c r="G11" s="490"/>
      <c r="H11" s="490"/>
      <c r="I11" s="491"/>
    </row>
    <row r="12" spans="1:9" ht="30" customHeight="1" thickBot="1">
      <c r="A12" s="286"/>
      <c r="B12" s="256"/>
      <c r="C12" s="256"/>
      <c r="D12" s="256"/>
      <c r="E12" s="256"/>
      <c r="F12" s="256"/>
      <c r="G12" s="256"/>
      <c r="H12" s="256"/>
      <c r="I12" s="256"/>
    </row>
    <row r="13" spans="1:9" ht="13.5" thickBot="1">
      <c r="A13" s="104"/>
      <c r="B13" s="104"/>
      <c r="C13" s="104"/>
      <c r="D13" s="104"/>
      <c r="E13" s="104"/>
      <c r="F13" s="104"/>
      <c r="G13" s="104"/>
      <c r="H13" s="104"/>
      <c r="I13" s="104"/>
    </row>
    <row r="14" spans="1:9">
      <c r="A14" s="560" t="s">
        <v>467</v>
      </c>
      <c r="B14" s="560"/>
      <c r="C14" s="560"/>
      <c r="D14" s="560"/>
      <c r="E14" s="560"/>
      <c r="F14" s="560"/>
      <c r="G14" s="560"/>
    </row>
    <row r="15" spans="1:9">
      <c r="B15" s="62" t="s">
        <v>295</v>
      </c>
      <c r="C15" s="203">
        <f>Table3B.3_27TTS_NB[[#Totals],[Total Vehicles in Network]]</f>
        <v>221892</v>
      </c>
      <c r="D15" s="61" t="s">
        <v>296</v>
      </c>
      <c r="E15" s="448"/>
    </row>
    <row r="16" spans="1:9">
      <c r="B16" s="62" t="s">
        <v>297</v>
      </c>
      <c r="C16" s="362">
        <v>0.94</v>
      </c>
    </row>
    <row r="17" spans="1:7">
      <c r="B17" s="62" t="s">
        <v>299</v>
      </c>
      <c r="C17" s="362">
        <v>0.06</v>
      </c>
    </row>
    <row r="18" spans="1:7">
      <c r="B18" s="62" t="s">
        <v>300</v>
      </c>
      <c r="C18" s="75">
        <f>All_Purpose_Travel</f>
        <v>18.8</v>
      </c>
      <c r="D18" s="61" t="s">
        <v>301</v>
      </c>
    </row>
    <row r="19" spans="1:7">
      <c r="B19" s="62" t="s">
        <v>302</v>
      </c>
      <c r="C19" s="75">
        <f>Truck_Travel</f>
        <v>32.4</v>
      </c>
      <c r="D19" s="61" t="s">
        <v>301</v>
      </c>
    </row>
    <row r="20" spans="1:7">
      <c r="B20" s="62" t="s">
        <v>303</v>
      </c>
      <c r="C20" s="219">
        <f>AVERAGE(Table3B.3_27TTS_NB[Average Delay (hr/veh)])*2</f>
        <v>1.3080740740740742E-2</v>
      </c>
      <c r="D20" s="61" t="s">
        <v>304</v>
      </c>
    </row>
    <row r="21" spans="1:7" ht="13.5" thickBot="1">
      <c r="B21" s="62" t="s">
        <v>305</v>
      </c>
      <c r="C21" s="355">
        <f>30</f>
        <v>30</v>
      </c>
      <c r="D21" s="61" t="s">
        <v>306</v>
      </c>
    </row>
    <row r="22" spans="1:7">
      <c r="B22" s="358"/>
      <c r="C22" s="359"/>
      <c r="D22" s="359"/>
      <c r="E22" s="359"/>
      <c r="F22" s="360" t="s">
        <v>468</v>
      </c>
      <c r="G22" s="361">
        <f>(C18*(C16*C15)+C19*(C17*C15))*C20*C21</f>
        <v>1708070.0996010664</v>
      </c>
    </row>
    <row r="23" spans="1:7" ht="13.5" thickBot="1">
      <c r="B23" s="557" t="s">
        <v>469</v>
      </c>
      <c r="C23" s="558"/>
      <c r="D23" s="558"/>
      <c r="E23" s="558"/>
      <c r="F23" s="558"/>
      <c r="G23" s="559"/>
    </row>
    <row r="24" spans="1:7" ht="13.5" thickBot="1"/>
    <row r="25" spans="1:7">
      <c r="A25" s="73" t="s">
        <v>470</v>
      </c>
      <c r="B25" s="74"/>
      <c r="C25" s="74"/>
      <c r="D25" s="74"/>
    </row>
    <row r="26" spans="1:7">
      <c r="A26" s="63" t="s">
        <v>21</v>
      </c>
      <c r="B26" s="63" t="s">
        <v>471</v>
      </c>
    </row>
    <row r="27" spans="1:7">
      <c r="A27" s="61">
        <v>2022</v>
      </c>
      <c r="B27" s="68"/>
    </row>
    <row r="28" spans="1:7">
      <c r="A28" s="61">
        <v>2023</v>
      </c>
      <c r="B28" s="68">
        <f>G22*3/45</f>
        <v>113871.33997340442</v>
      </c>
    </row>
    <row r="29" spans="1:7">
      <c r="A29" s="61">
        <v>2024</v>
      </c>
      <c r="B29" s="68">
        <f>G22*12/45</f>
        <v>455485.35989361769</v>
      </c>
    </row>
    <row r="30" spans="1:7">
      <c r="A30" s="61">
        <v>2025</v>
      </c>
      <c r="B30" s="68">
        <f>G22*12/45</f>
        <v>455485.35989361769</v>
      </c>
    </row>
    <row r="31" spans="1:7">
      <c r="A31" s="61">
        <v>2026</v>
      </c>
      <c r="B31" s="68">
        <f>G22*12/45</f>
        <v>455485.35989361769</v>
      </c>
    </row>
    <row r="32" spans="1:7">
      <c r="A32" s="61">
        <v>2027</v>
      </c>
      <c r="B32" s="68">
        <f>G22*6/45</f>
        <v>227742.67994680884</v>
      </c>
    </row>
  </sheetData>
  <mergeCells count="8">
    <mergeCell ref="A1:I1"/>
    <mergeCell ref="B23:G23"/>
    <mergeCell ref="A14:G14"/>
    <mergeCell ref="B7:I7"/>
    <mergeCell ref="B8:I8"/>
    <mergeCell ref="B9:I9"/>
    <mergeCell ref="B10:I10"/>
    <mergeCell ref="B11:I11"/>
  </mergeCells>
  <pageMargins left="0.7" right="0.7" top="0.75" bottom="0.75" header="0.3" footer="0.3"/>
  <pageSetup paperSize="3" scale="88"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82E7F-867A-4A50-9A1C-6F5BF4C3F7ED}">
  <sheetPr>
    <tabColor rgb="FFFF0000"/>
    <pageSetUpPr fitToPage="1"/>
  </sheetPr>
  <dimension ref="A1:I32"/>
  <sheetViews>
    <sheetView showGridLines="0" zoomScaleNormal="100" workbookViewId="0">
      <selection activeCell="A32" sqref="A32"/>
    </sheetView>
  </sheetViews>
  <sheetFormatPr defaultColWidth="9.140625" defaultRowHeight="12.75"/>
  <cols>
    <col min="1" max="1" width="21.85546875" style="61" customWidth="1"/>
    <col min="2" max="2" width="22.85546875" style="61" customWidth="1"/>
    <col min="3" max="3" width="11.28515625" style="61" customWidth="1"/>
    <col min="4" max="4" width="9.140625" style="61"/>
    <col min="5" max="5" width="10.28515625" style="61" bestFit="1" customWidth="1"/>
    <col min="6" max="6" width="9.140625" style="61"/>
    <col min="7" max="7" width="19.140625" style="61" customWidth="1"/>
    <col min="8" max="8" width="9.140625" style="61"/>
    <col min="9" max="9" width="9.28515625" style="61" customWidth="1"/>
    <col min="10" max="16384" width="9.140625" style="61"/>
  </cols>
  <sheetData>
    <row r="1" spans="1:9" ht="15" customHeight="1">
      <c r="A1" s="555" t="s">
        <v>461</v>
      </c>
      <c r="B1" s="556"/>
      <c r="C1" s="556"/>
      <c r="D1" s="556"/>
      <c r="E1" s="556"/>
      <c r="F1" s="556"/>
      <c r="G1" s="556"/>
      <c r="H1" s="556"/>
      <c r="I1" s="556"/>
    </row>
    <row r="2" spans="1:9" ht="15" customHeight="1">
      <c r="A2" s="62" t="s">
        <v>1</v>
      </c>
      <c r="B2" s="71" t="str">
        <f>Project_Name</f>
        <v>Completing the I-95 Missing Move and Quonset Connector Ramps</v>
      </c>
    </row>
    <row r="3" spans="1:9" ht="15" customHeight="1">
      <c r="A3" s="62" t="s">
        <v>2</v>
      </c>
      <c r="B3" s="71" t="s">
        <v>56</v>
      </c>
    </row>
    <row r="4" spans="1:9" ht="15" customHeight="1">
      <c r="A4" s="62" t="s">
        <v>4</v>
      </c>
      <c r="B4" s="72">
        <f>Date</f>
        <v>45159</v>
      </c>
    </row>
    <row r="5" spans="1:9" ht="26.25" customHeight="1"/>
    <row r="6" spans="1:9" ht="13.5" thickBot="1">
      <c r="A6" s="66"/>
      <c r="B6" s="66"/>
      <c r="C6" s="66"/>
      <c r="D6" s="66"/>
      <c r="E6" s="66"/>
      <c r="F6" s="66"/>
      <c r="G6" s="66"/>
      <c r="H6" s="66"/>
      <c r="I6" s="66"/>
    </row>
    <row r="7" spans="1:9" ht="30" customHeight="1" thickBot="1">
      <c r="A7" s="102" t="s">
        <v>99</v>
      </c>
      <c r="B7" s="489" t="s">
        <v>472</v>
      </c>
      <c r="C7" s="490"/>
      <c r="D7" s="490"/>
      <c r="E7" s="490"/>
      <c r="F7" s="490"/>
      <c r="G7" s="490"/>
      <c r="H7" s="490"/>
      <c r="I7" s="491"/>
    </row>
    <row r="8" spans="1:9" ht="67.5" customHeight="1" thickBot="1">
      <c r="A8" s="102" t="s">
        <v>101</v>
      </c>
      <c r="B8" s="489" t="s">
        <v>473</v>
      </c>
      <c r="C8" s="490"/>
      <c r="D8" s="490"/>
      <c r="E8" s="490"/>
      <c r="F8" s="490"/>
      <c r="G8" s="490"/>
      <c r="H8" s="490"/>
      <c r="I8" s="491"/>
    </row>
    <row r="9" spans="1:9" ht="30" customHeight="1" thickBot="1">
      <c r="A9" s="102" t="s">
        <v>103</v>
      </c>
      <c r="B9" s="489" t="s">
        <v>464</v>
      </c>
      <c r="C9" s="490"/>
      <c r="D9" s="490"/>
      <c r="E9" s="490"/>
      <c r="F9" s="490"/>
      <c r="G9" s="490"/>
      <c r="H9" s="490"/>
      <c r="I9" s="491"/>
    </row>
    <row r="10" spans="1:9" ht="30" customHeight="1" thickBot="1">
      <c r="A10" s="102" t="s">
        <v>105</v>
      </c>
      <c r="B10" s="489" t="s">
        <v>465</v>
      </c>
      <c r="C10" s="490"/>
      <c r="D10" s="490"/>
      <c r="E10" s="490"/>
      <c r="F10" s="490"/>
      <c r="G10" s="490"/>
      <c r="H10" s="490"/>
      <c r="I10" s="491"/>
    </row>
    <row r="11" spans="1:9" ht="54.75" customHeight="1" thickBot="1">
      <c r="A11" s="102" t="s">
        <v>107</v>
      </c>
      <c r="B11" s="489" t="s">
        <v>474</v>
      </c>
      <c r="C11" s="490"/>
      <c r="D11" s="490"/>
      <c r="E11" s="490"/>
      <c r="F11" s="490"/>
      <c r="G11" s="490"/>
      <c r="H11" s="490"/>
      <c r="I11" s="491"/>
    </row>
    <row r="12" spans="1:9" ht="30" customHeight="1" thickBot="1">
      <c r="A12" s="286"/>
      <c r="B12" s="256"/>
      <c r="C12" s="256"/>
      <c r="D12" s="256"/>
      <c r="E12" s="256"/>
      <c r="F12" s="256"/>
      <c r="G12" s="256"/>
      <c r="H12" s="256"/>
      <c r="I12" s="256"/>
    </row>
    <row r="13" spans="1:9" ht="13.5" thickBot="1">
      <c r="A13" s="104"/>
      <c r="B13" s="104"/>
      <c r="C13" s="104"/>
      <c r="D13" s="104"/>
      <c r="E13" s="104"/>
      <c r="F13" s="104"/>
      <c r="G13" s="104"/>
      <c r="H13" s="104"/>
      <c r="I13" s="104"/>
    </row>
    <row r="14" spans="1:9">
      <c r="A14" s="560" t="s">
        <v>467</v>
      </c>
      <c r="B14" s="560"/>
      <c r="C14" s="560"/>
      <c r="D14" s="560"/>
      <c r="E14" s="560"/>
      <c r="F14" s="560"/>
      <c r="G14" s="560"/>
    </row>
    <row r="15" spans="1:9">
      <c r="B15" s="62" t="s">
        <v>295</v>
      </c>
      <c r="C15" s="447">
        <f>Table3B.3_27TTS_NB100[[#Totals],[Total Vehicles in Network]]</f>
        <v>68660</v>
      </c>
      <c r="D15" s="61" t="s">
        <v>296</v>
      </c>
      <c r="E15" s="448"/>
    </row>
    <row r="16" spans="1:9">
      <c r="B16" s="62" t="s">
        <v>297</v>
      </c>
      <c r="C16" s="362">
        <v>0.94</v>
      </c>
    </row>
    <row r="17" spans="1:7">
      <c r="B17" s="62" t="s">
        <v>299</v>
      </c>
      <c r="C17" s="362">
        <v>0.06</v>
      </c>
    </row>
    <row r="18" spans="1:7">
      <c r="B18" s="62" t="s">
        <v>300</v>
      </c>
      <c r="C18" s="434">
        <f>All_Purpose_Travel</f>
        <v>18.8</v>
      </c>
      <c r="D18" s="61" t="s">
        <v>301</v>
      </c>
    </row>
    <row r="19" spans="1:7">
      <c r="B19" s="62" t="s">
        <v>302</v>
      </c>
      <c r="C19" s="434">
        <f>Truck_Travel</f>
        <v>32.4</v>
      </c>
      <c r="D19" s="61" t="s">
        <v>301</v>
      </c>
    </row>
    <row r="20" spans="1:7">
      <c r="B20" s="62" t="s">
        <v>303</v>
      </c>
      <c r="C20" s="219">
        <f>AVERAGE(Table3B.3_27TTS_NB100[Average Delay (hr/veh)])</f>
        <v>2.6715370370370372E-2</v>
      </c>
      <c r="D20" s="61" t="s">
        <v>304</v>
      </c>
    </row>
    <row r="21" spans="1:7" ht="13.5" thickBot="1">
      <c r="B21" s="62" t="s">
        <v>305</v>
      </c>
      <c r="C21" s="355">
        <f>18</f>
        <v>18</v>
      </c>
      <c r="D21" s="61" t="s">
        <v>306</v>
      </c>
    </row>
    <row r="22" spans="1:7">
      <c r="B22" s="358"/>
      <c r="C22" s="359"/>
      <c r="D22" s="359"/>
      <c r="E22" s="359"/>
      <c r="F22" s="360" t="s">
        <v>468</v>
      </c>
      <c r="G22" s="433">
        <f>(C18*(C16*C15)+C19*(C17*C15))*C20*C21</f>
        <v>647661.31376426679</v>
      </c>
    </row>
    <row r="23" spans="1:7" ht="13.5" thickBot="1">
      <c r="B23" s="557" t="s">
        <v>469</v>
      </c>
      <c r="C23" s="558"/>
      <c r="D23" s="558"/>
      <c r="E23" s="558"/>
      <c r="F23" s="558"/>
      <c r="G23" s="559"/>
    </row>
    <row r="24" spans="1:7" ht="13.5" thickBot="1"/>
    <row r="25" spans="1:7">
      <c r="A25" s="73" t="s">
        <v>470</v>
      </c>
      <c r="B25" s="74"/>
      <c r="C25" s="74"/>
      <c r="D25" s="74"/>
    </row>
    <row r="26" spans="1:7">
      <c r="A26" s="63" t="s">
        <v>21</v>
      </c>
      <c r="B26" s="63" t="s">
        <v>471</v>
      </c>
    </row>
    <row r="27" spans="1:7">
      <c r="A27" s="61">
        <v>2022</v>
      </c>
      <c r="B27" s="68"/>
    </row>
    <row r="28" spans="1:7">
      <c r="A28" s="61">
        <v>2023</v>
      </c>
      <c r="B28" s="68">
        <f>G22*3/45</f>
        <v>43177.42091761779</v>
      </c>
      <c r="C28" s="61">
        <v>3</v>
      </c>
    </row>
    <row r="29" spans="1:7">
      <c r="A29" s="61">
        <v>2024</v>
      </c>
      <c r="B29" s="68">
        <f>G22*12/45</f>
        <v>172709.68367047116</v>
      </c>
      <c r="C29" s="61">
        <v>12</v>
      </c>
    </row>
    <row r="30" spans="1:7">
      <c r="A30" s="61">
        <v>2025</v>
      </c>
      <c r="B30" s="68">
        <f>G22*12/45</f>
        <v>172709.68367047116</v>
      </c>
      <c r="C30" s="61">
        <v>12</v>
      </c>
    </row>
    <row r="31" spans="1:7">
      <c r="A31" s="61">
        <v>2026</v>
      </c>
      <c r="B31" s="68">
        <f>G22*12/45</f>
        <v>172709.68367047116</v>
      </c>
      <c r="C31" s="61">
        <v>12</v>
      </c>
    </row>
    <row r="32" spans="1:7">
      <c r="A32" s="61">
        <v>2027</v>
      </c>
      <c r="B32" s="68">
        <f>G22*6/45</f>
        <v>86354.84183523558</v>
      </c>
      <c r="C32" s="61">
        <v>6</v>
      </c>
    </row>
  </sheetData>
  <mergeCells count="8">
    <mergeCell ref="A1:I1"/>
    <mergeCell ref="B23:G23"/>
    <mergeCell ref="A14:G14"/>
    <mergeCell ref="B7:I7"/>
    <mergeCell ref="B8:I8"/>
    <mergeCell ref="B9:I9"/>
    <mergeCell ref="B10:I10"/>
    <mergeCell ref="B11:I11"/>
  </mergeCells>
  <pageMargins left="0.7" right="0.7" top="0.75" bottom="0.75" header="0.3" footer="0.3"/>
  <pageSetup paperSize="3" scale="88"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AA68A-6720-4C27-BF00-4A1DF8AE3FAC}">
  <sheetPr>
    <tabColor rgb="FFFF0000"/>
    <pageSetUpPr fitToPage="1"/>
  </sheetPr>
  <dimension ref="A1:I46"/>
  <sheetViews>
    <sheetView showGridLines="0" topLeftCell="A22" zoomScaleNormal="100" workbookViewId="0">
      <selection activeCell="I30" sqref="I30"/>
    </sheetView>
  </sheetViews>
  <sheetFormatPr defaultColWidth="9.140625" defaultRowHeight="12.75"/>
  <cols>
    <col min="1" max="1" width="21.7109375" style="76" customWidth="1"/>
    <col min="2" max="2" width="15.7109375" style="61" customWidth="1"/>
    <col min="3" max="3" width="17" style="61" customWidth="1"/>
    <col min="4" max="4" width="23" style="61" customWidth="1"/>
    <col min="5" max="5" width="19.28515625" style="61" customWidth="1"/>
    <col min="6" max="8" width="15.7109375" style="61" customWidth="1"/>
    <col min="9" max="9" width="21.7109375" style="61" customWidth="1"/>
    <col min="10" max="16384" width="9.140625" style="61"/>
  </cols>
  <sheetData>
    <row r="1" spans="1:9" ht="15" customHeight="1">
      <c r="A1" s="555" t="s">
        <v>475</v>
      </c>
      <c r="B1" s="556"/>
      <c r="C1" s="556"/>
      <c r="D1" s="556"/>
      <c r="E1" s="556"/>
      <c r="F1" s="556"/>
      <c r="G1" s="556"/>
      <c r="H1" s="556"/>
      <c r="I1" s="556"/>
    </row>
    <row r="2" spans="1:9" ht="15" customHeight="1">
      <c r="A2" s="87" t="s">
        <v>1</v>
      </c>
      <c r="B2" s="71" t="str">
        <f>Project_Name</f>
        <v>Completing the I-95 Missing Move and Quonset Connector Ramps</v>
      </c>
      <c r="C2" s="82"/>
      <c r="D2" s="82"/>
      <c r="E2" s="82"/>
      <c r="F2" s="82"/>
      <c r="G2" s="82"/>
      <c r="H2" s="82"/>
      <c r="I2" s="82"/>
    </row>
    <row r="3" spans="1:9" ht="15" customHeight="1">
      <c r="A3" s="87" t="s">
        <v>2</v>
      </c>
      <c r="B3" s="71" t="s">
        <v>29</v>
      </c>
      <c r="C3" s="82"/>
      <c r="D3" s="82"/>
      <c r="E3" s="82"/>
      <c r="F3" s="82"/>
      <c r="G3" s="82"/>
      <c r="H3" s="82"/>
      <c r="I3" s="82"/>
    </row>
    <row r="4" spans="1:9" ht="15" customHeight="1">
      <c r="A4" s="87" t="s">
        <v>4</v>
      </c>
      <c r="B4" s="88">
        <f>Date</f>
        <v>45159</v>
      </c>
      <c r="C4" s="82"/>
      <c r="D4" s="82"/>
      <c r="E4" s="82"/>
      <c r="F4" s="82"/>
      <c r="G4" s="82"/>
      <c r="H4" s="82"/>
      <c r="I4" s="82"/>
    </row>
    <row r="5" spans="1:9" ht="30" customHeight="1">
      <c r="A5" s="82"/>
      <c r="B5" s="82"/>
      <c r="C5" s="82"/>
      <c r="D5" s="82"/>
      <c r="E5" s="82"/>
      <c r="F5" s="82"/>
      <c r="G5" s="82"/>
      <c r="H5" s="82"/>
      <c r="I5" s="82"/>
    </row>
    <row r="6" spans="1:9" ht="13.5" thickBot="1">
      <c r="A6" s="82"/>
      <c r="B6" s="82"/>
      <c r="C6" s="82"/>
      <c r="D6" s="82"/>
      <c r="E6" s="82"/>
      <c r="F6" s="82"/>
      <c r="G6" s="82"/>
      <c r="H6" s="82"/>
      <c r="I6" s="82"/>
    </row>
    <row r="7" spans="1:9" ht="63" customHeight="1" thickBot="1">
      <c r="A7" s="102" t="s">
        <v>99</v>
      </c>
      <c r="B7" s="489" t="s">
        <v>476</v>
      </c>
      <c r="C7" s="490"/>
      <c r="D7" s="490"/>
      <c r="E7" s="490"/>
      <c r="F7" s="490"/>
      <c r="G7" s="490"/>
      <c r="H7" s="490"/>
      <c r="I7" s="491"/>
    </row>
    <row r="8" spans="1:9" ht="30" customHeight="1" thickBot="1">
      <c r="A8" s="102" t="s">
        <v>101</v>
      </c>
      <c r="B8" s="489" t="s">
        <v>477</v>
      </c>
      <c r="C8" s="490"/>
      <c r="D8" s="490"/>
      <c r="E8" s="490"/>
      <c r="F8" s="490"/>
      <c r="G8" s="490"/>
      <c r="H8" s="490"/>
      <c r="I8" s="491"/>
    </row>
    <row r="9" spans="1:9" ht="30" customHeight="1" thickBot="1">
      <c r="A9" s="102" t="s">
        <v>103</v>
      </c>
      <c r="B9" s="489" t="s">
        <v>478</v>
      </c>
      <c r="C9" s="490"/>
      <c r="D9" s="490"/>
      <c r="E9" s="490"/>
      <c r="F9" s="490"/>
      <c r="G9" s="490"/>
      <c r="H9" s="490"/>
      <c r="I9" s="491"/>
    </row>
    <row r="10" spans="1:9" ht="30" customHeight="1" thickBot="1">
      <c r="A10" s="102" t="s">
        <v>105</v>
      </c>
      <c r="B10" s="489" t="s">
        <v>479</v>
      </c>
      <c r="C10" s="490"/>
      <c r="D10" s="490"/>
      <c r="E10" s="490"/>
      <c r="F10" s="490"/>
      <c r="G10" s="490"/>
      <c r="H10" s="490"/>
      <c r="I10" s="491"/>
    </row>
    <row r="11" spans="1:9" ht="30" customHeight="1" thickBot="1">
      <c r="A11" s="102" t="s">
        <v>107</v>
      </c>
      <c r="B11" s="489" t="s">
        <v>480</v>
      </c>
      <c r="C11" s="490"/>
      <c r="D11" s="490"/>
      <c r="E11" s="490"/>
      <c r="F11" s="490"/>
      <c r="G11" s="490"/>
      <c r="H11" s="490"/>
      <c r="I11" s="491"/>
    </row>
    <row r="12" spans="1:9">
      <c r="A12" s="103"/>
      <c r="B12" s="104"/>
      <c r="C12" s="104"/>
      <c r="D12" s="104"/>
      <c r="E12" s="104"/>
    </row>
    <row r="14" spans="1:9">
      <c r="B14" s="63" t="s">
        <v>481</v>
      </c>
    </row>
    <row r="16" spans="1:9" ht="38.25">
      <c r="B16" s="122" t="s">
        <v>482</v>
      </c>
      <c r="C16" s="122" t="s">
        <v>483</v>
      </c>
      <c r="D16" s="122" t="s">
        <v>484</v>
      </c>
      <c r="E16" s="122" t="s">
        <v>285</v>
      </c>
      <c r="F16" s="122" t="s">
        <v>485</v>
      </c>
      <c r="G16" s="122" t="s">
        <v>486</v>
      </c>
    </row>
    <row r="17" spans="2:9">
      <c r="B17" s="122">
        <v>100001</v>
      </c>
      <c r="C17" s="122" t="s">
        <v>487</v>
      </c>
      <c r="D17" s="440">
        <v>52000</v>
      </c>
      <c r="E17" s="337">
        <v>15</v>
      </c>
      <c r="F17" s="440">
        <f>Table5080[[#This Row],[Iterations]]*Table5080[[#This Row],[Unit Cost]]</f>
        <v>780000</v>
      </c>
      <c r="G17" s="441">
        <f>Table5080[[#This Row],[30 Year Maintenance Cost]]*2</f>
        <v>1560000</v>
      </c>
    </row>
    <row r="18" spans="2:9" ht="38.25">
      <c r="B18" s="122">
        <v>100001</v>
      </c>
      <c r="C18" s="122" t="s">
        <v>488</v>
      </c>
      <c r="D18" s="440">
        <v>23500</v>
      </c>
      <c r="E18" s="337">
        <v>15</v>
      </c>
      <c r="F18" s="440">
        <f>Table5080[[#This Row],[Iterations]]*Table5080[[#This Row],[Unit Cost]]</f>
        <v>352500</v>
      </c>
      <c r="G18" s="441">
        <f>Table5080[[#This Row],[30 Year Maintenance Cost]]*2</f>
        <v>705000</v>
      </c>
    </row>
    <row r="19" spans="2:9" ht="51">
      <c r="B19" s="122">
        <v>100001</v>
      </c>
      <c r="C19" s="122" t="s">
        <v>489</v>
      </c>
      <c r="D19" s="440">
        <v>96000</v>
      </c>
      <c r="E19" s="337">
        <v>5</v>
      </c>
      <c r="F19" s="440">
        <f>Table5080[[#This Row],[Iterations]]*Table5080[[#This Row],[Unit Cost]]</f>
        <v>480000</v>
      </c>
      <c r="G19" s="441">
        <f>Table5080[[#This Row],[30 Year Maintenance Cost]]*2</f>
        <v>960000</v>
      </c>
    </row>
    <row r="20" spans="2:9">
      <c r="B20" s="122">
        <v>100001</v>
      </c>
      <c r="C20" s="122" t="s">
        <v>490</v>
      </c>
      <c r="D20" s="440">
        <v>94500</v>
      </c>
      <c r="E20" s="337">
        <v>4</v>
      </c>
      <c r="F20" s="440">
        <f>Table5080[[#This Row],[Iterations]]*Table5080[[#This Row],[Unit Cost]]</f>
        <v>378000</v>
      </c>
      <c r="G20" s="441">
        <f>Table5080[[#This Row],[30 Year Maintenance Cost]]*2</f>
        <v>756000</v>
      </c>
    </row>
    <row r="21" spans="2:9" ht="25.5">
      <c r="B21" s="122">
        <v>100001</v>
      </c>
      <c r="C21" s="122" t="s">
        <v>491</v>
      </c>
      <c r="D21" s="440">
        <v>3624000</v>
      </c>
      <c r="E21" s="337">
        <v>1</v>
      </c>
      <c r="F21" s="440">
        <f>Table5080[[#This Row],[Iterations]]*Table5080[[#This Row],[Unit Cost]]</f>
        <v>3624000</v>
      </c>
      <c r="G21" s="441">
        <f>Table5080[[#This Row],[30 Year Maintenance Cost]]*2</f>
        <v>7248000</v>
      </c>
    </row>
    <row r="22" spans="2:9" ht="25.5">
      <c r="B22" s="122">
        <v>100001</v>
      </c>
      <c r="C22" s="122" t="s">
        <v>492</v>
      </c>
      <c r="D22" s="440">
        <v>3613000</v>
      </c>
      <c r="E22" s="337">
        <v>1</v>
      </c>
      <c r="F22" s="440">
        <f>Table5080[[#This Row],[Iterations]]*Table5080[[#This Row],[Unit Cost]]</f>
        <v>3613000</v>
      </c>
      <c r="G22" s="441">
        <f>Table5080[[#This Row],[30 Year Maintenance Cost]]*2</f>
        <v>7226000</v>
      </c>
    </row>
    <row r="23" spans="2:9">
      <c r="B23" s="122"/>
      <c r="C23" s="122"/>
      <c r="D23" s="124"/>
      <c r="E23" s="337"/>
      <c r="F23" s="440">
        <f>Table5080[[#This Row],[Iterations]]*Table5080[[#This Row],[Unit Cost]]</f>
        <v>0</v>
      </c>
      <c r="G23" s="441">
        <f>Table5080[[#This Row],[30 Year Maintenance Cost]]*2</f>
        <v>0</v>
      </c>
    </row>
    <row r="24" spans="2:9">
      <c r="B24" s="122"/>
      <c r="C24" s="122"/>
      <c r="D24" s="124"/>
      <c r="E24" s="337"/>
      <c r="F24" s="440">
        <f>Table5080[[#This Row],[Iterations]]*Table5080[[#This Row],[Unit Cost]]</f>
        <v>0</v>
      </c>
      <c r="G24" s="441">
        <f>Table5080[[#This Row],[30 Year Maintenance Cost]]*2</f>
        <v>0</v>
      </c>
    </row>
    <row r="25" spans="2:9">
      <c r="B25" s="122"/>
      <c r="C25" s="122"/>
      <c r="D25" s="124"/>
      <c r="E25" s="337"/>
      <c r="F25" s="440">
        <f>Table5080[[#This Row],[Iterations]]*Table5080[[#This Row],[Unit Cost]]</f>
        <v>0</v>
      </c>
      <c r="G25" s="441">
        <f>Table5080[[#This Row],[30 Year Maintenance Cost]]*2</f>
        <v>0</v>
      </c>
    </row>
    <row r="26" spans="2:9">
      <c r="B26" s="122"/>
      <c r="C26" s="122"/>
      <c r="D26" s="124"/>
      <c r="E26" s="337"/>
      <c r="F26" s="440">
        <f>Table5080[[#This Row],[Iterations]]*Table5080[[#This Row],[Unit Cost]]</f>
        <v>0</v>
      </c>
      <c r="G26" s="441">
        <f>Table5080[[#This Row],[30 Year Maintenance Cost]]*2</f>
        <v>0</v>
      </c>
    </row>
    <row r="27" spans="2:9">
      <c r="B27" s="122"/>
      <c r="C27" s="122"/>
      <c r="D27" s="124"/>
      <c r="E27" s="337"/>
      <c r="F27" s="440">
        <f>Table5080[[#This Row],[Iterations]]*Table5080[[#This Row],[Unit Cost]]</f>
        <v>0</v>
      </c>
      <c r="G27" s="441">
        <f>Table5080[[#This Row],[30 Year Maintenance Cost]]*2</f>
        <v>0</v>
      </c>
    </row>
    <row r="28" spans="2:9">
      <c r="B28" s="122"/>
      <c r="C28" s="122"/>
      <c r="D28" s="124"/>
      <c r="E28" s="337"/>
      <c r="F28" s="440">
        <f>Table5080[[#This Row],[Iterations]]*Table5080[[#This Row],[Unit Cost]]</f>
        <v>0</v>
      </c>
      <c r="G28" s="441">
        <f>Table5080[[#This Row],[30 Year Maintenance Cost]]*2</f>
        <v>0</v>
      </c>
    </row>
    <row r="29" spans="2:9">
      <c r="B29" s="122" t="s">
        <v>28</v>
      </c>
      <c r="C29" s="122"/>
      <c r="D29" s="122"/>
      <c r="E29" s="127"/>
      <c r="F29" s="127"/>
      <c r="G29" s="287">
        <f>SUBTOTAL(109,Table5080[30-Year Cost 
($)])</f>
        <v>18455000</v>
      </c>
      <c r="I29" s="85">
        <v>1550000</v>
      </c>
    </row>
    <row r="30" spans="2:9">
      <c r="I30" s="68">
        <f>G29+I29</f>
        <v>20005000</v>
      </c>
    </row>
    <row r="31" spans="2:9">
      <c r="B31" s="63" t="s">
        <v>493</v>
      </c>
      <c r="I31" s="85"/>
    </row>
    <row r="32" spans="2:9">
      <c r="I32" s="85"/>
    </row>
    <row r="33" spans="2:9">
      <c r="B33" s="61" t="s">
        <v>494</v>
      </c>
      <c r="C33" s="61" t="s">
        <v>495</v>
      </c>
      <c r="D33" s="61" t="s">
        <v>496</v>
      </c>
      <c r="E33" s="61" t="s">
        <v>284</v>
      </c>
      <c r="F33" s="61" t="s">
        <v>285</v>
      </c>
      <c r="G33" s="61" t="s">
        <v>286</v>
      </c>
      <c r="I33" s="85"/>
    </row>
    <row r="34" spans="2:9">
      <c r="B34" s="61" t="s">
        <v>497</v>
      </c>
      <c r="C34" s="61" t="s">
        <v>498</v>
      </c>
      <c r="D34" s="61">
        <v>1</v>
      </c>
      <c r="E34" s="94">
        <v>75000</v>
      </c>
      <c r="F34" s="61">
        <v>10</v>
      </c>
      <c r="G34" s="94">
        <f>Table7281[[#This Row],[Iterations]]*Table7281[[#This Row],[Unit Cost/EA/SF]]*Table7281[[#This Row],[Units/Square Feet/Each]]</f>
        <v>750000</v>
      </c>
      <c r="I34" s="85"/>
    </row>
    <row r="35" spans="2:9">
      <c r="B35" s="61" t="s">
        <v>499</v>
      </c>
      <c r="C35" s="61" t="s">
        <v>498</v>
      </c>
      <c r="D35" s="61">
        <v>1</v>
      </c>
      <c r="E35" s="94">
        <v>65000</v>
      </c>
      <c r="F35" s="61">
        <v>10</v>
      </c>
      <c r="G35" s="94">
        <f>Table7281[[#This Row],[Iterations]]*Table7281[[#This Row],[Unit Cost/EA/SF]]*Table7281[[#This Row],[Units/Square Feet/Each]]</f>
        <v>650000</v>
      </c>
      <c r="I35" s="85"/>
    </row>
    <row r="36" spans="2:9">
      <c r="B36" s="61" t="s">
        <v>500</v>
      </c>
      <c r="C36" s="61" t="s">
        <v>501</v>
      </c>
      <c r="D36" s="338">
        <v>750000</v>
      </c>
      <c r="E36" s="94">
        <v>3</v>
      </c>
      <c r="F36" s="61">
        <v>2</v>
      </c>
      <c r="G36" s="94">
        <f>Table7281[[#This Row],[Iterations]]*Table7281[[#This Row],[Unit Cost/EA/SF]]*Table7281[[#This Row],[Units/Square Feet/Each]]</f>
        <v>4500000</v>
      </c>
      <c r="I36" s="85"/>
    </row>
    <row r="37" spans="2:9">
      <c r="B37" s="63" t="s">
        <v>287</v>
      </c>
      <c r="C37" s="63"/>
      <c r="D37" s="63"/>
      <c r="E37" s="339"/>
      <c r="F37" s="63"/>
      <c r="G37" s="339">
        <f>SUM(G34:G36)</f>
        <v>5900000</v>
      </c>
      <c r="I37" s="85"/>
    </row>
    <row r="38" spans="2:9">
      <c r="B38" s="61" t="s">
        <v>288</v>
      </c>
      <c r="E38" s="94"/>
      <c r="G38" s="94">
        <f>G37*0.3</f>
        <v>1770000</v>
      </c>
      <c r="I38" s="85"/>
    </row>
    <row r="39" spans="2:9">
      <c r="B39" s="63" t="s">
        <v>291</v>
      </c>
      <c r="C39" s="63"/>
      <c r="D39" s="63"/>
      <c r="E39" s="339"/>
      <c r="F39" s="63"/>
      <c r="G39" s="339">
        <f>SUM(G37:G38)</f>
        <v>7670000</v>
      </c>
      <c r="I39" s="85">
        <v>3770000</v>
      </c>
    </row>
    <row r="40" spans="2:9">
      <c r="I40" s="68">
        <f>G39+I39</f>
        <v>11440000</v>
      </c>
    </row>
    <row r="41" spans="2:9">
      <c r="B41" s="63" t="s">
        <v>502</v>
      </c>
    </row>
    <row r="43" spans="2:9">
      <c r="C43" s="81" t="s">
        <v>7</v>
      </c>
      <c r="D43" s="81" t="s">
        <v>503</v>
      </c>
      <c r="E43" s="81" t="s">
        <v>504</v>
      </c>
    </row>
    <row r="44" spans="2:9" ht="25.5">
      <c r="C44" s="81" t="s">
        <v>505</v>
      </c>
      <c r="D44" s="81" t="s">
        <v>506</v>
      </c>
      <c r="E44" s="126">
        <f>Table5080[[#Totals],[30-Year Cost 
($)]]</f>
        <v>18455000</v>
      </c>
    </row>
    <row r="45" spans="2:9" ht="25.5">
      <c r="C45" s="81" t="s">
        <v>507</v>
      </c>
      <c r="D45" s="81" t="s">
        <v>506</v>
      </c>
      <c r="E45" s="126">
        <f>G39</f>
        <v>7670000</v>
      </c>
    </row>
    <row r="46" spans="2:9">
      <c r="C46" s="81" t="s">
        <v>28</v>
      </c>
      <c r="D46" s="81"/>
      <c r="E46" s="126">
        <f>SUBTOTAL(109,Table7382[Cost Over 30 Years])</f>
        <v>26125000</v>
      </c>
    </row>
  </sheetData>
  <mergeCells count="6">
    <mergeCell ref="B11:I11"/>
    <mergeCell ref="A1:I1"/>
    <mergeCell ref="B7:I7"/>
    <mergeCell ref="B8:I8"/>
    <mergeCell ref="B9:I9"/>
    <mergeCell ref="B10:I10"/>
  </mergeCells>
  <pageMargins left="0.7" right="0.7" top="0.75" bottom="0.75" header="0.3" footer="0.3"/>
  <pageSetup scale="75" fitToHeight="0" orientation="landscape" r:id="rId1"/>
  <rowBreaks count="1" manualBreakCount="1">
    <brk id="29" max="16383" man="1"/>
  </rowBreaks>
  <drawing r:id="rId2"/>
  <tableParts count="3">
    <tablePart r:id="rId3"/>
    <tablePart r:id="rId4"/>
    <tablePart r:id="rId5"/>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ED31F-4B90-4032-8A38-2C0C7F2C937F}">
  <sheetPr>
    <tabColor rgb="FFFF0000"/>
    <pageSetUpPr fitToPage="1"/>
  </sheetPr>
  <dimension ref="A1:I46"/>
  <sheetViews>
    <sheetView showGridLines="0" topLeftCell="A17" zoomScale="80" zoomScaleNormal="80" workbookViewId="0">
      <selection activeCell="I39" sqref="I39"/>
    </sheetView>
  </sheetViews>
  <sheetFormatPr defaultColWidth="9.140625" defaultRowHeight="12.75"/>
  <cols>
    <col min="1" max="1" width="21.7109375" style="76" customWidth="1"/>
    <col min="2" max="2" width="18.140625" style="61" customWidth="1"/>
    <col min="3" max="3" width="17" style="61" customWidth="1"/>
    <col min="4" max="4" width="23" style="61" customWidth="1"/>
    <col min="5" max="5" width="19.28515625" style="61" customWidth="1"/>
    <col min="6" max="8" width="15.7109375" style="61" customWidth="1"/>
    <col min="9" max="9" width="21.7109375" style="61" customWidth="1"/>
    <col min="10" max="16384" width="9.140625" style="61"/>
  </cols>
  <sheetData>
    <row r="1" spans="1:9" ht="15" customHeight="1">
      <c r="A1" s="555" t="s">
        <v>475</v>
      </c>
      <c r="B1" s="556"/>
      <c r="C1" s="556"/>
      <c r="D1" s="556"/>
      <c r="E1" s="556"/>
      <c r="F1" s="556"/>
      <c r="G1" s="556"/>
      <c r="H1" s="556"/>
      <c r="I1" s="556"/>
    </row>
    <row r="2" spans="1:9" ht="15" customHeight="1">
      <c r="A2" s="87" t="s">
        <v>1</v>
      </c>
      <c r="B2" s="71" t="str">
        <f>Project_Name</f>
        <v>Completing the I-95 Missing Move and Quonset Connector Ramps</v>
      </c>
      <c r="C2" s="82"/>
      <c r="D2" s="82"/>
      <c r="E2" s="82"/>
      <c r="F2" s="82"/>
      <c r="G2" s="82"/>
      <c r="H2" s="82"/>
      <c r="I2" s="82"/>
    </row>
    <row r="3" spans="1:9" ht="15" customHeight="1">
      <c r="A3" s="87" t="s">
        <v>2</v>
      </c>
      <c r="B3" s="71" t="s">
        <v>56</v>
      </c>
      <c r="C3" s="82"/>
      <c r="D3" s="82"/>
      <c r="E3" s="82"/>
      <c r="F3" s="82"/>
      <c r="G3" s="82"/>
      <c r="H3" s="82"/>
      <c r="I3" s="82"/>
    </row>
    <row r="4" spans="1:9" ht="15" customHeight="1">
      <c r="A4" s="87" t="s">
        <v>4</v>
      </c>
      <c r="B4" s="88">
        <f>Date</f>
        <v>45159</v>
      </c>
      <c r="C4" s="82"/>
      <c r="D4" s="82"/>
      <c r="E4" s="82"/>
      <c r="F4" s="82"/>
      <c r="G4" s="82"/>
      <c r="H4" s="82"/>
      <c r="I4" s="82"/>
    </row>
    <row r="5" spans="1:9" ht="30" customHeight="1">
      <c r="A5" s="82"/>
      <c r="B5" s="82"/>
      <c r="C5" s="82"/>
      <c r="D5" s="82"/>
      <c r="E5" s="82"/>
      <c r="F5" s="82"/>
      <c r="G5" s="82"/>
      <c r="H5" s="82"/>
      <c r="I5" s="82"/>
    </row>
    <row r="6" spans="1:9" ht="13.5" thickBot="1">
      <c r="A6" s="82"/>
      <c r="B6" s="82"/>
      <c r="C6" s="82"/>
      <c r="D6" s="82"/>
      <c r="E6" s="82"/>
      <c r="F6" s="82"/>
      <c r="G6" s="82"/>
      <c r="H6" s="82"/>
      <c r="I6" s="82"/>
    </row>
    <row r="7" spans="1:9" ht="93.75" customHeight="1" thickBot="1">
      <c r="A7" s="102" t="s">
        <v>99</v>
      </c>
      <c r="B7" s="489" t="s">
        <v>476</v>
      </c>
      <c r="C7" s="490"/>
      <c r="D7" s="490"/>
      <c r="E7" s="490"/>
      <c r="F7" s="490"/>
      <c r="G7" s="490"/>
      <c r="H7" s="490"/>
      <c r="I7" s="491"/>
    </row>
    <row r="8" spans="1:9" ht="30" customHeight="1" thickBot="1">
      <c r="A8" s="102" t="s">
        <v>101</v>
      </c>
      <c r="B8" s="489" t="s">
        <v>477</v>
      </c>
      <c r="C8" s="490"/>
      <c r="D8" s="490"/>
      <c r="E8" s="490"/>
      <c r="F8" s="490"/>
      <c r="G8" s="490"/>
      <c r="H8" s="490"/>
      <c r="I8" s="491"/>
    </row>
    <row r="9" spans="1:9" ht="30" customHeight="1" thickBot="1">
      <c r="A9" s="102" t="s">
        <v>103</v>
      </c>
      <c r="B9" s="489" t="s">
        <v>478</v>
      </c>
      <c r="C9" s="490"/>
      <c r="D9" s="490"/>
      <c r="E9" s="490"/>
      <c r="F9" s="490"/>
      <c r="G9" s="490"/>
      <c r="H9" s="490"/>
      <c r="I9" s="491"/>
    </row>
    <row r="10" spans="1:9" ht="30" customHeight="1" thickBot="1">
      <c r="A10" s="102" t="s">
        <v>105</v>
      </c>
      <c r="B10" s="489" t="s">
        <v>479</v>
      </c>
      <c r="C10" s="490"/>
      <c r="D10" s="490"/>
      <c r="E10" s="490"/>
      <c r="F10" s="490"/>
      <c r="G10" s="490"/>
      <c r="H10" s="490"/>
      <c r="I10" s="491"/>
    </row>
    <row r="11" spans="1:9" ht="30" customHeight="1" thickBot="1">
      <c r="A11" s="102" t="s">
        <v>107</v>
      </c>
      <c r="B11" s="489" t="s">
        <v>480</v>
      </c>
      <c r="C11" s="490"/>
      <c r="D11" s="490"/>
      <c r="E11" s="490"/>
      <c r="F11" s="490"/>
      <c r="G11" s="490"/>
      <c r="H11" s="490"/>
      <c r="I11" s="491"/>
    </row>
    <row r="12" spans="1:9">
      <c r="A12" s="103"/>
      <c r="B12" s="104"/>
      <c r="C12" s="104"/>
      <c r="D12" s="104"/>
      <c r="E12" s="104"/>
    </row>
    <row r="14" spans="1:9">
      <c r="B14" s="63" t="s">
        <v>481</v>
      </c>
    </row>
    <row r="16" spans="1:9" ht="38.25">
      <c r="B16" s="122" t="s">
        <v>482</v>
      </c>
      <c r="C16" s="122" t="s">
        <v>483</v>
      </c>
      <c r="D16" s="122" t="s">
        <v>484</v>
      </c>
      <c r="E16" s="122" t="s">
        <v>285</v>
      </c>
      <c r="F16" s="122" t="s">
        <v>485</v>
      </c>
      <c r="G16" s="122" t="s">
        <v>486</v>
      </c>
    </row>
    <row r="17" spans="2:7" ht="25.5">
      <c r="B17" s="122" t="s">
        <v>97</v>
      </c>
      <c r="C17" s="122" t="s">
        <v>508</v>
      </c>
      <c r="D17" s="368">
        <v>25000</v>
      </c>
      <c r="E17" s="439">
        <v>15</v>
      </c>
      <c r="F17" s="368">
        <f>Table5080114[[#This Row],[Iterations]]*Table5080114[[#This Row],[Unit Cost]]</f>
        <v>375000</v>
      </c>
      <c r="G17" s="438">
        <f>Table5080114[[#This Row],[30 Year Maintenance Cost]]*2</f>
        <v>750000</v>
      </c>
    </row>
    <row r="18" spans="2:7" ht="25.5">
      <c r="B18" s="122" t="s">
        <v>97</v>
      </c>
      <c r="C18" s="122" t="s">
        <v>509</v>
      </c>
      <c r="D18" s="368">
        <v>10000</v>
      </c>
      <c r="E18" s="439">
        <v>15</v>
      </c>
      <c r="F18" s="368">
        <f>Table5080114[[#This Row],[Iterations]]*Table5080114[[#This Row],[Unit Cost]]</f>
        <v>150000</v>
      </c>
      <c r="G18" s="438">
        <f>Table5080114[[#This Row],[30 Year Maintenance Cost]]*2</f>
        <v>300000</v>
      </c>
    </row>
    <row r="19" spans="2:7" ht="25.5">
      <c r="B19" s="122" t="s">
        <v>97</v>
      </c>
      <c r="C19" s="122" t="s">
        <v>510</v>
      </c>
      <c r="D19" s="368">
        <v>50000</v>
      </c>
      <c r="E19" s="439">
        <v>5</v>
      </c>
      <c r="F19" s="368">
        <f>Table5080114[[#This Row],[Iterations]]*Table5080114[[#This Row],[Unit Cost]]</f>
        <v>250000</v>
      </c>
      <c r="G19" s="438">
        <f>Table5080114[[#This Row],[30 Year Maintenance Cost]]*2</f>
        <v>500000</v>
      </c>
    </row>
    <row r="20" spans="2:7">
      <c r="B20" s="122"/>
      <c r="C20" s="122"/>
      <c r="D20" s="368"/>
      <c r="E20" s="439"/>
      <c r="F20" s="368">
        <f>Table5080114[[#This Row],[Iterations]]*Table5080114[[#This Row],[Unit Cost]]</f>
        <v>0</v>
      </c>
      <c r="G20" s="438">
        <f>Table5080114[[#This Row],[30 Year Maintenance Cost]]*2</f>
        <v>0</v>
      </c>
    </row>
    <row r="21" spans="2:7">
      <c r="B21" s="122"/>
      <c r="C21" s="122"/>
      <c r="D21" s="368"/>
      <c r="E21" s="439"/>
      <c r="F21" s="368">
        <f>Table5080114[[#This Row],[Iterations]]*Table5080114[[#This Row],[Unit Cost]]</f>
        <v>0</v>
      </c>
      <c r="G21" s="438">
        <f>Table5080114[[#This Row],[30 Year Maintenance Cost]]*2</f>
        <v>0</v>
      </c>
    </row>
    <row r="22" spans="2:7">
      <c r="B22" s="122"/>
      <c r="C22" s="122"/>
      <c r="D22" s="368"/>
      <c r="E22" s="439"/>
      <c r="F22" s="368">
        <f>Table5080114[[#This Row],[Iterations]]*Table5080114[[#This Row],[Unit Cost]]</f>
        <v>0</v>
      </c>
      <c r="G22" s="438">
        <f>Table5080114[[#This Row],[30 Year Maintenance Cost]]*2</f>
        <v>0</v>
      </c>
    </row>
    <row r="23" spans="2:7">
      <c r="B23" s="122"/>
      <c r="C23" s="122"/>
      <c r="D23" s="368"/>
      <c r="E23" s="439"/>
      <c r="F23" s="368">
        <f>Table5080114[[#This Row],[Iterations]]*Table5080114[[#This Row],[Unit Cost]]</f>
        <v>0</v>
      </c>
      <c r="G23" s="438">
        <f>Table5080114[[#This Row],[30 Year Maintenance Cost]]*2</f>
        <v>0</v>
      </c>
    </row>
    <row r="24" spans="2:7">
      <c r="B24" s="122"/>
      <c r="C24" s="122"/>
      <c r="D24" s="368"/>
      <c r="E24" s="439"/>
      <c r="F24" s="368">
        <f>Table5080114[[#This Row],[Iterations]]*Table5080114[[#This Row],[Unit Cost]]</f>
        <v>0</v>
      </c>
      <c r="G24" s="438">
        <f>Table5080114[[#This Row],[30 Year Maintenance Cost]]*2</f>
        <v>0</v>
      </c>
    </row>
    <row r="25" spans="2:7">
      <c r="B25" s="122"/>
      <c r="C25" s="122"/>
      <c r="D25" s="368"/>
      <c r="E25" s="439"/>
      <c r="F25" s="368">
        <f>Table5080114[[#This Row],[Iterations]]*Table5080114[[#This Row],[Unit Cost]]</f>
        <v>0</v>
      </c>
      <c r="G25" s="438">
        <f>Table5080114[[#This Row],[30 Year Maintenance Cost]]*2</f>
        <v>0</v>
      </c>
    </row>
    <row r="26" spans="2:7">
      <c r="B26" s="122"/>
      <c r="C26" s="122"/>
      <c r="D26" s="368"/>
      <c r="E26" s="439"/>
      <c r="F26" s="368">
        <f>Table5080114[[#This Row],[Iterations]]*Table5080114[[#This Row],[Unit Cost]]</f>
        <v>0</v>
      </c>
      <c r="G26" s="438">
        <f>Table5080114[[#This Row],[30 Year Maintenance Cost]]*2</f>
        <v>0</v>
      </c>
    </row>
    <row r="27" spans="2:7">
      <c r="B27" s="122"/>
      <c r="C27" s="122"/>
      <c r="D27" s="368"/>
      <c r="E27" s="439"/>
      <c r="F27" s="368">
        <f>Table5080114[[#This Row],[Iterations]]*Table5080114[[#This Row],[Unit Cost]]</f>
        <v>0</v>
      </c>
      <c r="G27" s="438">
        <f>Table5080114[[#This Row],[30 Year Maintenance Cost]]*2</f>
        <v>0</v>
      </c>
    </row>
    <row r="28" spans="2:7">
      <c r="B28" s="122"/>
      <c r="C28" s="122"/>
      <c r="D28" s="368"/>
      <c r="E28" s="439"/>
      <c r="F28" s="368">
        <f>Table5080114[[#This Row],[Iterations]]*Table5080114[[#This Row],[Unit Cost]]</f>
        <v>0</v>
      </c>
      <c r="G28" s="438">
        <f>Table5080114[[#This Row],[30 Year Maintenance Cost]]*2</f>
        <v>0</v>
      </c>
    </row>
    <row r="29" spans="2:7">
      <c r="B29" s="122" t="s">
        <v>28</v>
      </c>
      <c r="C29" s="122"/>
      <c r="D29" s="122"/>
      <c r="E29" s="127"/>
      <c r="F29" s="127"/>
      <c r="G29" s="287">
        <f>SUBTOTAL(109,Table5080114[30-Year Cost 
($)])</f>
        <v>1550000</v>
      </c>
    </row>
    <row r="31" spans="2:7">
      <c r="B31" s="63" t="s">
        <v>493</v>
      </c>
    </row>
    <row r="33" spans="2:9">
      <c r="B33" s="61" t="s">
        <v>494</v>
      </c>
      <c r="C33" s="61" t="s">
        <v>495</v>
      </c>
      <c r="D33" s="61" t="s">
        <v>496</v>
      </c>
      <c r="E33" s="61" t="s">
        <v>284</v>
      </c>
      <c r="F33" s="61" t="s">
        <v>285</v>
      </c>
      <c r="G33" s="61" t="s">
        <v>286</v>
      </c>
    </row>
    <row r="34" spans="2:9">
      <c r="B34" s="61" t="s">
        <v>511</v>
      </c>
      <c r="C34" s="61" t="s">
        <v>498</v>
      </c>
      <c r="D34" s="61">
        <v>1</v>
      </c>
      <c r="E34" s="436">
        <v>45000</v>
      </c>
      <c r="F34" s="61">
        <v>10</v>
      </c>
      <c r="G34" s="436">
        <f>Table7281115[[#This Row],[Iterations]]*Table7281115[[#This Row],[Unit Cost/EA/SF]]*Table7281115[[#This Row],[Units/Square Feet/Each]]</f>
        <v>450000</v>
      </c>
    </row>
    <row r="35" spans="2:9">
      <c r="B35" s="61" t="s">
        <v>499</v>
      </c>
      <c r="C35" s="61" t="s">
        <v>498</v>
      </c>
      <c r="D35" s="61">
        <v>1</v>
      </c>
      <c r="E35" s="436">
        <v>35000</v>
      </c>
      <c r="F35" s="61">
        <v>10</v>
      </c>
      <c r="G35" s="436">
        <f>Table7281115[[#This Row],[Iterations]]*Table7281115[[#This Row],[Unit Cost/EA/SF]]*Table7281115[[#This Row],[Units/Square Feet/Each]]</f>
        <v>350000</v>
      </c>
    </row>
    <row r="36" spans="2:9">
      <c r="B36" s="61" t="s">
        <v>512</v>
      </c>
      <c r="C36" s="61" t="s">
        <v>501</v>
      </c>
      <c r="D36" s="437">
        <v>350000</v>
      </c>
      <c r="E36" s="436">
        <v>3</v>
      </c>
      <c r="F36" s="61">
        <v>2</v>
      </c>
      <c r="G36" s="436">
        <f>Table7281115[[#This Row],[Iterations]]*Table7281115[[#This Row],[Unit Cost/EA/SF]]*Table7281115[[#This Row],[Units/Square Feet/Each]]</f>
        <v>2100000</v>
      </c>
    </row>
    <row r="37" spans="2:9">
      <c r="B37" s="63" t="s">
        <v>287</v>
      </c>
      <c r="C37" s="63"/>
      <c r="D37" s="63"/>
      <c r="E37" s="435"/>
      <c r="F37" s="63"/>
      <c r="G37" s="435">
        <f>SUM(G34:G36)</f>
        <v>2900000</v>
      </c>
    </row>
    <row r="38" spans="2:9">
      <c r="B38" s="61" t="s">
        <v>288</v>
      </c>
      <c r="E38" s="436"/>
      <c r="G38" s="436">
        <f>G37*0.3</f>
        <v>870000</v>
      </c>
    </row>
    <row r="39" spans="2:9">
      <c r="B39" s="63" t="s">
        <v>291</v>
      </c>
      <c r="C39" s="63"/>
      <c r="D39" s="63"/>
      <c r="E39" s="435"/>
      <c r="F39" s="63"/>
      <c r="G39" s="435">
        <f>SUM(G37:G38)</f>
        <v>3770000</v>
      </c>
      <c r="I39" s="68">
        <f>Table7281115[[#This Row],[Total Cost]]+Table7281[[#This Row],[Total Cost]]</f>
        <v>11440000</v>
      </c>
    </row>
    <row r="41" spans="2:9">
      <c r="B41" s="63" t="s">
        <v>502</v>
      </c>
    </row>
    <row r="43" spans="2:9">
      <c r="C43" s="81" t="s">
        <v>7</v>
      </c>
      <c r="D43" s="81" t="s">
        <v>503</v>
      </c>
      <c r="E43" s="81" t="s">
        <v>504</v>
      </c>
    </row>
    <row r="44" spans="2:9" ht="25.5">
      <c r="C44" s="81" t="s">
        <v>505</v>
      </c>
      <c r="D44" s="81" t="s">
        <v>506</v>
      </c>
      <c r="E44" s="126">
        <f>Table5080114[[#Totals],[30-Year Cost 
($)]]</f>
        <v>1550000</v>
      </c>
    </row>
    <row r="45" spans="2:9" ht="25.5">
      <c r="C45" s="81" t="s">
        <v>507</v>
      </c>
      <c r="D45" s="81" t="s">
        <v>506</v>
      </c>
      <c r="E45" s="126">
        <f>G39</f>
        <v>3770000</v>
      </c>
    </row>
    <row r="46" spans="2:9">
      <c r="C46" s="81" t="s">
        <v>28</v>
      </c>
      <c r="D46" s="81"/>
      <c r="E46" s="126">
        <f>SUBTOTAL(109,Table7382116[Cost Over 30 Years])</f>
        <v>5320000</v>
      </c>
    </row>
  </sheetData>
  <mergeCells count="6">
    <mergeCell ref="B11:I11"/>
    <mergeCell ref="A1:I1"/>
    <mergeCell ref="B7:I7"/>
    <mergeCell ref="B8:I8"/>
    <mergeCell ref="B9:I9"/>
    <mergeCell ref="B10:I10"/>
  </mergeCells>
  <dataValidations count="1">
    <dataValidation allowBlank="1" showInputMessage="1" showErrorMessage="1" sqref="A1" xr:uid="{CE784366-EA41-4033-9A2D-00D9B8C47D6E}"/>
  </dataValidations>
  <pageMargins left="0.7" right="0.7" top="0.75" bottom="0.75" header="0.3" footer="0.3"/>
  <pageSetup scale="75" fitToHeight="0" orientation="landscape" r:id="rId1"/>
  <rowBreaks count="1" manualBreakCount="1">
    <brk id="29" max="16383" man="1"/>
  </rowBreaks>
  <drawing r:id="rId2"/>
  <tableParts count="3">
    <tablePart r:id="rId3"/>
    <tablePart r:id="rId4"/>
    <tablePart r:id="rId5"/>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81120-4CAF-4B18-8178-CD4F43BD4451}">
  <sheetPr>
    <tabColor theme="1"/>
    <pageSetUpPr fitToPage="1"/>
  </sheetPr>
  <dimension ref="A1:I121"/>
  <sheetViews>
    <sheetView showGridLines="0" zoomScale="85" zoomScaleNormal="85" workbookViewId="0">
      <selection activeCell="E21" sqref="E21"/>
    </sheetView>
  </sheetViews>
  <sheetFormatPr defaultColWidth="9.140625" defaultRowHeight="12.75"/>
  <cols>
    <col min="1" max="1" width="21.7109375" style="61" customWidth="1"/>
    <col min="2" max="2" width="46" style="61" customWidth="1"/>
    <col min="3" max="3" width="45.28515625" style="61" customWidth="1"/>
    <col min="4" max="4" width="11.28515625" style="61" customWidth="1"/>
    <col min="5" max="5" width="37.42578125" style="61" customWidth="1"/>
    <col min="6" max="6" width="13.140625" style="61" bestFit="1" customWidth="1"/>
    <col min="7" max="7" width="26.140625" style="61" customWidth="1"/>
    <col min="8" max="8" width="14.85546875" style="61" customWidth="1"/>
    <col min="9" max="9" width="21.7109375" style="61" customWidth="1"/>
    <col min="10" max="16384" width="9.140625" style="61"/>
  </cols>
  <sheetData>
    <row r="1" spans="1:9">
      <c r="A1" s="561" t="s">
        <v>513</v>
      </c>
      <c r="B1" s="561"/>
      <c r="C1" s="561"/>
      <c r="D1" s="561"/>
      <c r="E1" s="561"/>
      <c r="F1" s="561"/>
      <c r="G1" s="561"/>
      <c r="H1" s="561"/>
      <c r="I1" s="561"/>
    </row>
    <row r="2" spans="1:9">
      <c r="A2" s="62" t="s">
        <v>1</v>
      </c>
      <c r="B2" s="63" t="str">
        <f>Project_Name</f>
        <v>Completing the I-95 Missing Move and Quonset Connector Ramps</v>
      </c>
    </row>
    <row r="3" spans="1:9">
      <c r="A3" s="62" t="s">
        <v>2</v>
      </c>
      <c r="B3" s="63" t="s">
        <v>29</v>
      </c>
    </row>
    <row r="4" spans="1:9">
      <c r="A4" s="62" t="s">
        <v>4</v>
      </c>
      <c r="B4" s="64">
        <f>Date</f>
        <v>45159</v>
      </c>
    </row>
    <row r="5" spans="1:9" ht="35.1" customHeight="1">
      <c r="A5" s="62"/>
      <c r="B5" s="65"/>
    </row>
    <row r="6" spans="1:9" ht="13.5" thickBot="1">
      <c r="A6" s="62"/>
      <c r="B6" s="65"/>
    </row>
    <row r="7" spans="1:9">
      <c r="A7" s="496" t="s">
        <v>514</v>
      </c>
      <c r="B7" s="562"/>
      <c r="C7" s="562"/>
      <c r="D7" s="562"/>
      <c r="E7" s="562"/>
      <c r="F7" s="562"/>
      <c r="G7" s="562"/>
      <c r="H7" s="562"/>
      <c r="I7" s="563"/>
    </row>
    <row r="8" spans="1:9" ht="50.1" customHeight="1">
      <c r="A8" s="564"/>
      <c r="B8" s="565"/>
      <c r="C8" s="565"/>
      <c r="D8" s="565"/>
      <c r="E8" s="565"/>
      <c r="F8" s="565"/>
      <c r="G8" s="565"/>
      <c r="H8" s="565"/>
      <c r="I8" s="566"/>
    </row>
    <row r="9" spans="1:9">
      <c r="A9" s="564"/>
      <c r="B9" s="565"/>
      <c r="C9" s="565"/>
      <c r="D9" s="565"/>
      <c r="E9" s="565"/>
      <c r="F9" s="565"/>
      <c r="G9" s="565"/>
      <c r="H9" s="565"/>
      <c r="I9" s="566"/>
    </row>
    <row r="10" spans="1:9">
      <c r="A10" s="564"/>
      <c r="B10" s="565"/>
      <c r="C10" s="565"/>
      <c r="D10" s="565"/>
      <c r="E10" s="565"/>
      <c r="F10" s="565"/>
      <c r="G10" s="565"/>
      <c r="H10" s="565"/>
      <c r="I10" s="566"/>
    </row>
    <row r="11" spans="1:9" ht="13.5" thickBot="1">
      <c r="A11" s="567"/>
      <c r="B11" s="568"/>
      <c r="C11" s="568"/>
      <c r="D11" s="568"/>
      <c r="E11" s="568"/>
      <c r="F11" s="568"/>
      <c r="G11" s="568"/>
      <c r="H11" s="568"/>
      <c r="I11" s="569"/>
    </row>
    <row r="13" spans="1:9" ht="15">
      <c r="B13" s="114" t="s">
        <v>515</v>
      </c>
      <c r="E13" s="114" t="s">
        <v>516</v>
      </c>
    </row>
    <row r="15" spans="1:9">
      <c r="B15" s="61" t="s">
        <v>517</v>
      </c>
      <c r="C15" s="61" t="s">
        <v>518</v>
      </c>
      <c r="E15" s="61" t="s">
        <v>21</v>
      </c>
      <c r="F15" s="61" t="s">
        <v>130</v>
      </c>
      <c r="G15" s="61" t="s">
        <v>122</v>
      </c>
      <c r="H15" s="61" t="s">
        <v>131</v>
      </c>
      <c r="I15" s="61" t="s">
        <v>132</v>
      </c>
    </row>
    <row r="16" spans="1:9">
      <c r="B16" s="61" t="s">
        <v>84</v>
      </c>
      <c r="C16" s="94">
        <v>4000</v>
      </c>
      <c r="E16" s="61">
        <v>2022</v>
      </c>
      <c r="F16" s="94">
        <v>16600</v>
      </c>
      <c r="G16" s="94">
        <v>44300</v>
      </c>
      <c r="H16" s="94">
        <v>796700</v>
      </c>
      <c r="I16" s="94">
        <v>56</v>
      </c>
    </row>
    <row r="17" spans="2:9">
      <c r="B17" s="61" t="s">
        <v>85</v>
      </c>
      <c r="C17" s="94">
        <v>78500</v>
      </c>
      <c r="E17" s="61">
        <v>2023</v>
      </c>
      <c r="F17" s="94">
        <v>16800</v>
      </c>
      <c r="G17" s="94">
        <v>45100</v>
      </c>
      <c r="H17" s="94">
        <v>810500</v>
      </c>
      <c r="I17" s="94">
        <v>57</v>
      </c>
    </row>
    <row r="18" spans="2:9">
      <c r="B18" s="61" t="s">
        <v>86</v>
      </c>
      <c r="C18" s="94">
        <v>153700</v>
      </c>
      <c r="E18" s="61">
        <v>2024</v>
      </c>
      <c r="F18" s="94">
        <v>17000</v>
      </c>
      <c r="G18" s="94">
        <v>46000</v>
      </c>
      <c r="H18" s="94">
        <v>824500</v>
      </c>
      <c r="I18" s="94">
        <v>58</v>
      </c>
    </row>
    <row r="19" spans="2:9">
      <c r="B19" s="61" t="s">
        <v>87</v>
      </c>
      <c r="C19" s="94">
        <v>564300</v>
      </c>
      <c r="E19" s="61">
        <v>2025</v>
      </c>
      <c r="F19" s="94">
        <v>17200</v>
      </c>
      <c r="G19" s="94">
        <v>46900</v>
      </c>
      <c r="H19" s="94">
        <v>838800</v>
      </c>
      <c r="I19" s="94">
        <v>59</v>
      </c>
    </row>
    <row r="20" spans="2:9">
      <c r="B20" s="61" t="s">
        <v>88</v>
      </c>
      <c r="C20" s="94">
        <v>11800000</v>
      </c>
      <c r="E20" s="61">
        <v>2026</v>
      </c>
      <c r="F20" s="94">
        <v>17500</v>
      </c>
      <c r="G20" s="94">
        <v>47800</v>
      </c>
      <c r="H20" s="94">
        <v>852100</v>
      </c>
      <c r="I20" s="94">
        <v>60</v>
      </c>
    </row>
    <row r="21" spans="2:9">
      <c r="B21" s="61" t="s">
        <v>89</v>
      </c>
      <c r="C21" s="94">
        <v>213900</v>
      </c>
      <c r="E21" s="61">
        <v>2027</v>
      </c>
      <c r="F21" s="94">
        <v>17900</v>
      </c>
      <c r="G21" s="94">
        <v>48700</v>
      </c>
      <c r="H21" s="94">
        <v>865600</v>
      </c>
      <c r="I21" s="94">
        <v>61</v>
      </c>
    </row>
    <row r="22" spans="2:9">
      <c r="B22" s="61" t="s">
        <v>90</v>
      </c>
      <c r="C22" s="94">
        <v>162600</v>
      </c>
      <c r="E22" s="61">
        <v>2028</v>
      </c>
      <c r="F22" s="94">
        <v>18200</v>
      </c>
      <c r="G22" s="94">
        <v>49500</v>
      </c>
      <c r="H22" s="94">
        <v>879400</v>
      </c>
      <c r="I22" s="94">
        <v>62</v>
      </c>
    </row>
    <row r="23" spans="2:9">
      <c r="B23" s="61" t="s">
        <v>91</v>
      </c>
      <c r="C23" s="94">
        <v>307800</v>
      </c>
      <c r="E23" s="61">
        <v>2029</v>
      </c>
      <c r="F23" s="94">
        <v>18600</v>
      </c>
      <c r="G23" s="94">
        <v>50400</v>
      </c>
      <c r="H23" s="94">
        <v>893400</v>
      </c>
      <c r="I23" s="94">
        <v>63</v>
      </c>
    </row>
    <row r="24" spans="2:9">
      <c r="B24" s="61" t="s">
        <v>92</v>
      </c>
      <c r="C24" s="94">
        <v>13046800</v>
      </c>
      <c r="E24" s="61">
        <v>2030</v>
      </c>
      <c r="F24" s="94">
        <v>18900</v>
      </c>
      <c r="G24" s="94">
        <v>51300</v>
      </c>
      <c r="H24" s="94">
        <v>907600</v>
      </c>
      <c r="I24" s="94">
        <v>65</v>
      </c>
    </row>
    <row r="25" spans="2:9">
      <c r="C25" s="94"/>
      <c r="E25" s="61">
        <v>2031</v>
      </c>
      <c r="F25" s="94">
        <v>18900</v>
      </c>
      <c r="G25" s="94">
        <v>51300</v>
      </c>
      <c r="H25" s="94">
        <v>907600</v>
      </c>
      <c r="I25" s="94">
        <v>66</v>
      </c>
    </row>
    <row r="26" spans="2:9" ht="15">
      <c r="B26" s="114" t="s">
        <v>519</v>
      </c>
      <c r="C26" s="94"/>
      <c r="E26" s="61">
        <v>2032</v>
      </c>
      <c r="F26" s="94">
        <v>18900</v>
      </c>
      <c r="G26" s="94">
        <v>51300</v>
      </c>
      <c r="H26" s="94">
        <v>907600</v>
      </c>
      <c r="I26" s="94">
        <v>67</v>
      </c>
    </row>
    <row r="27" spans="2:9">
      <c r="B27" s="61" t="s">
        <v>520</v>
      </c>
      <c r="C27" s="115" t="s">
        <v>518</v>
      </c>
      <c r="E27" s="61">
        <v>2033</v>
      </c>
      <c r="F27" s="94">
        <v>18900</v>
      </c>
      <c r="G27" s="94">
        <v>51300</v>
      </c>
      <c r="H27" s="94">
        <v>907600</v>
      </c>
      <c r="I27" s="94">
        <v>68</v>
      </c>
    </row>
    <row r="28" spans="2:9">
      <c r="B28" s="61" t="s">
        <v>521</v>
      </c>
      <c r="C28" s="115">
        <v>4800</v>
      </c>
      <c r="E28" s="61">
        <v>2034</v>
      </c>
      <c r="F28" s="94">
        <v>18900</v>
      </c>
      <c r="G28" s="94">
        <v>51300</v>
      </c>
      <c r="H28" s="94">
        <v>907600</v>
      </c>
      <c r="I28" s="94">
        <v>69</v>
      </c>
    </row>
    <row r="29" spans="2:9">
      <c r="E29" s="61">
        <v>2035</v>
      </c>
      <c r="F29" s="94">
        <v>18900</v>
      </c>
      <c r="G29" s="94">
        <v>51300</v>
      </c>
      <c r="H29" s="94">
        <v>907600</v>
      </c>
      <c r="I29" s="94">
        <v>70</v>
      </c>
    </row>
    <row r="30" spans="2:9" ht="15">
      <c r="B30" s="114" t="s">
        <v>522</v>
      </c>
      <c r="E30" s="61">
        <v>2036</v>
      </c>
      <c r="F30" s="94">
        <v>18900</v>
      </c>
      <c r="G30" s="94">
        <v>51300</v>
      </c>
      <c r="H30" s="94">
        <v>907600</v>
      </c>
      <c r="I30" s="94">
        <v>72</v>
      </c>
    </row>
    <row r="31" spans="2:9">
      <c r="E31" s="61">
        <v>2037</v>
      </c>
      <c r="F31" s="94">
        <v>18900</v>
      </c>
      <c r="G31" s="94">
        <v>51300</v>
      </c>
      <c r="H31" s="94">
        <v>907600</v>
      </c>
      <c r="I31" s="94">
        <v>73</v>
      </c>
    </row>
    <row r="32" spans="2:9">
      <c r="B32" s="61" t="s">
        <v>523</v>
      </c>
      <c r="C32" s="61" t="s">
        <v>524</v>
      </c>
      <c r="E32" s="61">
        <v>2038</v>
      </c>
      <c r="F32" s="94">
        <v>18900</v>
      </c>
      <c r="G32" s="94">
        <v>51300</v>
      </c>
      <c r="H32" s="94">
        <v>907600</v>
      </c>
      <c r="I32" s="94">
        <v>74</v>
      </c>
    </row>
    <row r="33" spans="2:9">
      <c r="B33" s="61" t="s">
        <v>525</v>
      </c>
      <c r="C33" s="94">
        <v>17</v>
      </c>
      <c r="E33" s="61">
        <v>2039</v>
      </c>
      <c r="F33" s="94">
        <v>18900</v>
      </c>
      <c r="G33" s="94">
        <v>51300</v>
      </c>
      <c r="H33" s="94">
        <v>907600</v>
      </c>
      <c r="I33" s="94">
        <v>75</v>
      </c>
    </row>
    <row r="34" spans="2:9">
      <c r="B34" s="61" t="s">
        <v>526</v>
      </c>
      <c r="C34" s="94">
        <v>31.9</v>
      </c>
      <c r="E34" s="61">
        <v>2040</v>
      </c>
      <c r="F34" s="94">
        <v>18900</v>
      </c>
      <c r="G34" s="94">
        <v>51300</v>
      </c>
      <c r="H34" s="94">
        <v>907600</v>
      </c>
      <c r="I34" s="94">
        <v>76</v>
      </c>
    </row>
    <row r="35" spans="2:9">
      <c r="B35" s="61" t="s">
        <v>527</v>
      </c>
      <c r="C35" s="94">
        <v>18.8</v>
      </c>
      <c r="E35" s="61">
        <v>2041</v>
      </c>
      <c r="F35" s="94">
        <v>18900</v>
      </c>
      <c r="G35" s="94">
        <v>51300</v>
      </c>
      <c r="H35" s="94">
        <v>907600</v>
      </c>
      <c r="I35" s="94">
        <v>78</v>
      </c>
    </row>
    <row r="36" spans="2:9">
      <c r="B36" s="61" t="s">
        <v>528</v>
      </c>
      <c r="C36" s="94">
        <v>34</v>
      </c>
      <c r="E36" s="61">
        <v>2042</v>
      </c>
      <c r="F36" s="94">
        <v>18900</v>
      </c>
      <c r="G36" s="94">
        <v>51300</v>
      </c>
      <c r="H36" s="94">
        <v>907600</v>
      </c>
      <c r="I36" s="94">
        <v>79</v>
      </c>
    </row>
    <row r="37" spans="2:9">
      <c r="B37" s="61" t="s">
        <v>529</v>
      </c>
      <c r="C37" s="94">
        <v>32.4</v>
      </c>
      <c r="E37" s="61">
        <v>2043</v>
      </c>
      <c r="F37" s="94">
        <v>18900</v>
      </c>
      <c r="G37" s="94">
        <v>51300</v>
      </c>
      <c r="H37" s="94">
        <v>907600</v>
      </c>
      <c r="I37" s="94">
        <v>80</v>
      </c>
    </row>
    <row r="38" spans="2:9">
      <c r="B38" s="61" t="s">
        <v>530</v>
      </c>
      <c r="C38" s="94">
        <v>35</v>
      </c>
      <c r="E38" s="61">
        <v>2044</v>
      </c>
      <c r="F38" s="94">
        <v>18900</v>
      </c>
      <c r="G38" s="94">
        <v>51300</v>
      </c>
      <c r="H38" s="94">
        <v>907600</v>
      </c>
      <c r="I38" s="94">
        <v>81</v>
      </c>
    </row>
    <row r="39" spans="2:9">
      <c r="B39" s="61" t="s">
        <v>531</v>
      </c>
      <c r="C39" s="94">
        <v>58.4</v>
      </c>
      <c r="E39" s="61">
        <v>2045</v>
      </c>
      <c r="F39" s="94">
        <v>18900</v>
      </c>
      <c r="G39" s="94">
        <v>51300</v>
      </c>
      <c r="H39" s="94">
        <v>907600</v>
      </c>
      <c r="I39" s="94">
        <v>82</v>
      </c>
    </row>
    <row r="40" spans="2:9">
      <c r="B40" s="61" t="s">
        <v>532</v>
      </c>
      <c r="C40" s="94">
        <v>57.4</v>
      </c>
      <c r="E40" s="61">
        <v>2046</v>
      </c>
      <c r="F40" s="94">
        <v>18900</v>
      </c>
      <c r="G40" s="94">
        <v>51300</v>
      </c>
      <c r="H40" s="94">
        <v>907600</v>
      </c>
      <c r="I40" s="94">
        <v>84</v>
      </c>
    </row>
    <row r="41" spans="2:9">
      <c r="E41" s="61">
        <v>2047</v>
      </c>
      <c r="F41" s="94">
        <v>18900</v>
      </c>
      <c r="G41" s="94">
        <v>51300</v>
      </c>
      <c r="H41" s="94">
        <v>907600</v>
      </c>
      <c r="I41" s="94">
        <v>85</v>
      </c>
    </row>
    <row r="42" spans="2:9" ht="15">
      <c r="B42" s="114" t="s">
        <v>533</v>
      </c>
      <c r="E42" s="61">
        <v>2048</v>
      </c>
      <c r="F42" s="94">
        <v>18900</v>
      </c>
      <c r="G42" s="94">
        <v>51300</v>
      </c>
      <c r="H42" s="94">
        <v>907600</v>
      </c>
      <c r="I42" s="94">
        <v>86</v>
      </c>
    </row>
    <row r="43" spans="2:9">
      <c r="E43" s="61">
        <v>2049</v>
      </c>
      <c r="F43" s="94">
        <v>18900</v>
      </c>
      <c r="G43" s="94">
        <v>51300</v>
      </c>
      <c r="H43" s="94">
        <v>907600</v>
      </c>
      <c r="I43" s="94">
        <v>87</v>
      </c>
    </row>
    <row r="44" spans="2:9">
      <c r="B44" s="61" t="s">
        <v>534</v>
      </c>
      <c r="C44" s="61" t="s">
        <v>535</v>
      </c>
      <c r="E44" s="61">
        <v>2050</v>
      </c>
      <c r="F44" s="94">
        <v>18900</v>
      </c>
      <c r="G44" s="94">
        <v>51300</v>
      </c>
      <c r="H44" s="94">
        <v>907600</v>
      </c>
      <c r="I44" s="94">
        <v>88</v>
      </c>
    </row>
    <row r="45" spans="2:9">
      <c r="B45" s="61" t="s">
        <v>536</v>
      </c>
      <c r="C45" s="61">
        <v>1.48</v>
      </c>
      <c r="E45" s="61">
        <v>2051</v>
      </c>
      <c r="F45" s="94">
        <v>18900</v>
      </c>
      <c r="G45" s="94">
        <v>51300</v>
      </c>
      <c r="H45" s="94">
        <v>907600</v>
      </c>
      <c r="I45" s="445">
        <v>88</v>
      </c>
    </row>
    <row r="46" spans="2:9">
      <c r="B46" s="61" t="s">
        <v>537</v>
      </c>
      <c r="C46" s="61">
        <v>1.58</v>
      </c>
      <c r="E46" s="61">
        <v>2052</v>
      </c>
      <c r="F46" s="94">
        <v>18900</v>
      </c>
      <c r="G46" s="94">
        <v>51300</v>
      </c>
      <c r="H46" s="94">
        <v>907600</v>
      </c>
      <c r="I46" s="445">
        <v>88</v>
      </c>
    </row>
    <row r="47" spans="2:9">
      <c r="B47" s="61" t="s">
        <v>538</v>
      </c>
      <c r="C47" s="61">
        <v>2.02</v>
      </c>
      <c r="E47" s="61">
        <v>2053</v>
      </c>
      <c r="F47" s="94">
        <v>18900</v>
      </c>
      <c r="G47" s="94">
        <v>51300</v>
      </c>
      <c r="H47" s="94">
        <v>907600</v>
      </c>
      <c r="I47" s="445">
        <v>88</v>
      </c>
    </row>
    <row r="48" spans="2:9">
      <c r="B48" s="61" t="s">
        <v>539</v>
      </c>
      <c r="C48" s="61">
        <v>1.67</v>
      </c>
      <c r="E48" s="61">
        <v>2054</v>
      </c>
      <c r="F48" s="94">
        <v>18900</v>
      </c>
      <c r="G48" s="94">
        <v>51300</v>
      </c>
      <c r="H48" s="94">
        <v>907600</v>
      </c>
      <c r="I48" s="445">
        <v>88</v>
      </c>
    </row>
    <row r="49" spans="2:9">
      <c r="E49" s="61">
        <v>2055</v>
      </c>
      <c r="F49" s="94">
        <v>18900</v>
      </c>
      <c r="G49" s="94">
        <v>51300</v>
      </c>
      <c r="H49" s="94">
        <v>907600</v>
      </c>
      <c r="I49" s="445">
        <v>88</v>
      </c>
    </row>
    <row r="50" spans="2:9" ht="15">
      <c r="B50" s="114" t="s">
        <v>540</v>
      </c>
      <c r="E50" s="61">
        <v>2056</v>
      </c>
      <c r="F50" s="94">
        <v>18900</v>
      </c>
      <c r="G50" s="94">
        <v>51300</v>
      </c>
      <c r="H50" s="94">
        <v>907600</v>
      </c>
      <c r="I50" s="445">
        <v>88</v>
      </c>
    </row>
    <row r="51" spans="2:9">
      <c r="E51" s="61">
        <v>2057</v>
      </c>
      <c r="F51" s="94">
        <v>18900</v>
      </c>
      <c r="G51" s="94">
        <v>51300</v>
      </c>
      <c r="H51" s="94">
        <v>907600</v>
      </c>
      <c r="I51" s="445">
        <v>88</v>
      </c>
    </row>
    <row r="52" spans="2:9">
      <c r="B52" s="61" t="s">
        <v>534</v>
      </c>
      <c r="C52" s="61" t="s">
        <v>541</v>
      </c>
      <c r="E52" s="61">
        <v>2058</v>
      </c>
      <c r="F52" s="94">
        <v>18900</v>
      </c>
      <c r="G52" s="94">
        <v>51300</v>
      </c>
      <c r="H52" s="94">
        <v>907600</v>
      </c>
      <c r="I52" s="445">
        <v>88</v>
      </c>
    </row>
    <row r="53" spans="2:9">
      <c r="B53" s="61" t="s">
        <v>542</v>
      </c>
      <c r="C53" s="94">
        <v>0.46</v>
      </c>
      <c r="E53" s="61">
        <v>2059</v>
      </c>
      <c r="F53" s="94">
        <v>18900</v>
      </c>
      <c r="G53" s="94">
        <v>51300</v>
      </c>
      <c r="H53" s="94">
        <v>907600</v>
      </c>
      <c r="I53" s="445">
        <v>88</v>
      </c>
    </row>
    <row r="54" spans="2:9">
      <c r="B54" s="61" t="s">
        <v>543</v>
      </c>
      <c r="C54" s="94">
        <v>1.01</v>
      </c>
    </row>
    <row r="55" spans="2:9" ht="15.75">
      <c r="C55" s="94"/>
      <c r="E55" s="61" t="s">
        <v>544</v>
      </c>
    </row>
    <row r="56" spans="2:9">
      <c r="C56" s="94"/>
    </row>
    <row r="57" spans="2:9" ht="15">
      <c r="B57" s="114" t="s">
        <v>545</v>
      </c>
      <c r="E57" s="114" t="s">
        <v>546</v>
      </c>
    </row>
    <row r="59" spans="2:9">
      <c r="B59" s="61" t="s">
        <v>547</v>
      </c>
      <c r="C59" s="61" t="s">
        <v>548</v>
      </c>
      <c r="E59" s="61" t="s">
        <v>549</v>
      </c>
      <c r="F59" s="61" t="s">
        <v>550</v>
      </c>
      <c r="G59" s="61" t="s">
        <v>551</v>
      </c>
      <c r="H59" s="61" t="s">
        <v>552</v>
      </c>
    </row>
    <row r="60" spans="2:9">
      <c r="B60" s="61">
        <v>2003</v>
      </c>
      <c r="C60" s="116">
        <v>1.44</v>
      </c>
      <c r="E60" s="61" t="s">
        <v>553</v>
      </c>
      <c r="F60" s="94">
        <v>0.03</v>
      </c>
      <c r="G60" s="94">
        <v>0.03</v>
      </c>
      <c r="H60" s="94">
        <v>0.06</v>
      </c>
    </row>
    <row r="61" spans="2:9">
      <c r="B61" s="61">
        <v>2004</v>
      </c>
      <c r="C61" s="116">
        <v>1.4</v>
      </c>
      <c r="E61" s="61" t="s">
        <v>554</v>
      </c>
      <c r="F61" s="94">
        <v>0.31</v>
      </c>
      <c r="G61" s="94">
        <v>0.15</v>
      </c>
      <c r="H61" s="94">
        <v>0.86</v>
      </c>
    </row>
    <row r="62" spans="2:9">
      <c r="B62" s="61">
        <v>2005</v>
      </c>
      <c r="C62" s="116">
        <v>1.36</v>
      </c>
      <c r="E62" s="61" t="s">
        <v>555</v>
      </c>
      <c r="F62" s="94">
        <v>0.24</v>
      </c>
      <c r="G62" s="94">
        <v>0.24</v>
      </c>
      <c r="H62" s="94">
        <v>0.11</v>
      </c>
    </row>
    <row r="63" spans="2:9">
      <c r="B63" s="61">
        <v>2006</v>
      </c>
      <c r="C63" s="116">
        <v>1.32</v>
      </c>
      <c r="E63" s="61" t="s">
        <v>556</v>
      </c>
      <c r="F63" s="94">
        <v>0.31</v>
      </c>
      <c r="G63" s="94">
        <v>0.05</v>
      </c>
      <c r="H63" s="94">
        <v>0.1</v>
      </c>
    </row>
    <row r="64" spans="2:9">
      <c r="B64" s="61">
        <v>2007</v>
      </c>
      <c r="C64" s="116">
        <v>1.28</v>
      </c>
      <c r="E64" s="61" t="s">
        <v>557</v>
      </c>
      <c r="F64" s="94">
        <v>0.19</v>
      </c>
      <c r="G64" s="94">
        <v>0.13</v>
      </c>
      <c r="H64" s="94">
        <v>0.13</v>
      </c>
    </row>
    <row r="65" spans="2:8">
      <c r="B65" s="61">
        <v>2008</v>
      </c>
      <c r="C65" s="116">
        <v>1.26</v>
      </c>
      <c r="E65" s="61" t="s">
        <v>558</v>
      </c>
      <c r="F65" s="94">
        <v>0.25</v>
      </c>
      <c r="G65" s="94">
        <v>0.16</v>
      </c>
      <c r="H65" s="94">
        <v>0.13</v>
      </c>
    </row>
    <row r="66" spans="2:8">
      <c r="B66" s="61">
        <v>2009</v>
      </c>
      <c r="C66" s="116">
        <v>1.25</v>
      </c>
      <c r="E66" s="61" t="s">
        <v>559</v>
      </c>
      <c r="F66" s="94">
        <v>0.14000000000000001</v>
      </c>
      <c r="G66" s="94">
        <v>0.14000000000000001</v>
      </c>
      <c r="H66" s="94">
        <v>0.1</v>
      </c>
    </row>
    <row r="67" spans="2:8">
      <c r="B67" s="61">
        <v>2010</v>
      </c>
      <c r="C67" s="116">
        <v>1.24</v>
      </c>
      <c r="E67" s="61" t="s">
        <v>560</v>
      </c>
      <c r="F67" s="94">
        <v>0.11</v>
      </c>
      <c r="G67" s="94">
        <v>0.11</v>
      </c>
      <c r="H67" s="94">
        <v>0.06</v>
      </c>
    </row>
    <row r="68" spans="2:8">
      <c r="B68" s="61">
        <v>2011</v>
      </c>
      <c r="C68" s="116">
        <v>1.21</v>
      </c>
      <c r="E68" s="61" t="s">
        <v>561</v>
      </c>
      <c r="F68" s="94">
        <v>0.08</v>
      </c>
      <c r="G68" s="94">
        <v>0.03</v>
      </c>
      <c r="H68" s="94">
        <v>0.18</v>
      </c>
    </row>
    <row r="69" spans="2:8">
      <c r="B69" s="61">
        <v>2012</v>
      </c>
      <c r="C69" s="116">
        <v>1.19</v>
      </c>
      <c r="E69" s="61" t="s">
        <v>562</v>
      </c>
      <c r="F69" s="94">
        <v>0.32</v>
      </c>
      <c r="G69" s="94">
        <v>0.32</v>
      </c>
      <c r="H69" s="94">
        <v>0.2</v>
      </c>
    </row>
    <row r="70" spans="2:8">
      <c r="B70" s="61">
        <v>2013</v>
      </c>
      <c r="C70" s="116">
        <v>1.17</v>
      </c>
      <c r="E70" s="61" t="s">
        <v>563</v>
      </c>
      <c r="F70" s="94">
        <v>0.42</v>
      </c>
      <c r="G70" s="94">
        <v>0.08</v>
      </c>
      <c r="H70" s="94">
        <v>7.0000000000000007E-2</v>
      </c>
    </row>
    <row r="71" spans="2:8">
      <c r="B71" s="61">
        <v>2014</v>
      </c>
      <c r="C71" s="116">
        <v>1.1499999999999999</v>
      </c>
      <c r="E71" s="61" t="s">
        <v>564</v>
      </c>
      <c r="F71" s="94">
        <v>0.31</v>
      </c>
      <c r="G71" s="94">
        <v>0.31</v>
      </c>
      <c r="H71" s="94">
        <v>0.32</v>
      </c>
    </row>
    <row r="72" spans="2:8">
      <c r="B72" s="61">
        <v>2015</v>
      </c>
      <c r="C72" s="116">
        <v>1.1399999999999999</v>
      </c>
      <c r="E72" s="61" t="s">
        <v>565</v>
      </c>
      <c r="F72" s="94">
        <v>0.62</v>
      </c>
      <c r="G72" s="94">
        <v>0.62</v>
      </c>
      <c r="H72" s="94">
        <v>0.62</v>
      </c>
    </row>
    <row r="73" spans="2:8">
      <c r="B73" s="61">
        <v>2016</v>
      </c>
      <c r="C73" s="116">
        <v>1.1200000000000001</v>
      </c>
      <c r="E73" s="61" t="s">
        <v>566</v>
      </c>
      <c r="F73" s="94">
        <v>0.1</v>
      </c>
      <c r="G73" s="94">
        <v>0.1</v>
      </c>
      <c r="H73" s="94">
        <v>7.0000000000000007E-2</v>
      </c>
    </row>
    <row r="74" spans="2:8">
      <c r="B74" s="61">
        <v>2017</v>
      </c>
      <c r="C74" s="116">
        <v>1.1000000000000001</v>
      </c>
      <c r="E74" s="61" t="s">
        <v>567</v>
      </c>
      <c r="F74" s="94">
        <v>0.23</v>
      </c>
      <c r="G74" s="94">
        <v>0.1</v>
      </c>
      <c r="H74" s="94">
        <v>0.48</v>
      </c>
    </row>
    <row r="75" spans="2:8">
      <c r="B75" s="61">
        <v>2018</v>
      </c>
      <c r="C75" s="116">
        <v>1.08</v>
      </c>
      <c r="E75" s="61" t="s">
        <v>568</v>
      </c>
      <c r="F75" s="94">
        <v>0</v>
      </c>
      <c r="G75" s="94">
        <v>0</v>
      </c>
      <c r="H75" s="94">
        <v>0.1</v>
      </c>
    </row>
    <row r="76" spans="2:8">
      <c r="B76" s="61">
        <v>2019</v>
      </c>
      <c r="C76" s="116">
        <v>1.06</v>
      </c>
      <c r="E76" s="61" t="s">
        <v>569</v>
      </c>
      <c r="F76" s="94">
        <v>0</v>
      </c>
      <c r="G76" s="94">
        <v>0</v>
      </c>
      <c r="H76" s="94">
        <v>0.11</v>
      </c>
    </row>
    <row r="77" spans="2:8">
      <c r="B77" s="61">
        <v>2020</v>
      </c>
      <c r="C77" s="116">
        <v>1.04</v>
      </c>
      <c r="E77" s="61" t="s">
        <v>570</v>
      </c>
      <c r="F77" s="94">
        <v>0</v>
      </c>
      <c r="G77" s="94">
        <v>0</v>
      </c>
      <c r="H77" s="94">
        <v>7.0000000000000007E-2</v>
      </c>
    </row>
    <row r="78" spans="2:8">
      <c r="B78" s="61">
        <v>2021</v>
      </c>
      <c r="C78" s="116">
        <v>1</v>
      </c>
      <c r="E78" s="61" t="s">
        <v>571</v>
      </c>
      <c r="F78" s="94">
        <v>0</v>
      </c>
      <c r="G78" s="94">
        <v>0</v>
      </c>
      <c r="H78" s="94">
        <v>0.04</v>
      </c>
    </row>
    <row r="79" spans="2:8">
      <c r="E79" s="61" t="s">
        <v>572</v>
      </c>
      <c r="F79" s="94">
        <v>0</v>
      </c>
      <c r="G79" s="94">
        <v>0</v>
      </c>
      <c r="H79" s="94">
        <v>0.09</v>
      </c>
    </row>
    <row r="80" spans="2:8" ht="15">
      <c r="B80" s="114" t="s">
        <v>573</v>
      </c>
      <c r="E80" s="61" t="s">
        <v>574</v>
      </c>
      <c r="F80" s="94">
        <v>0</v>
      </c>
      <c r="G80" s="94">
        <v>0</v>
      </c>
      <c r="H80" s="94">
        <v>0.05</v>
      </c>
    </row>
    <row r="81" spans="2:8">
      <c r="E81" s="61" t="s">
        <v>575</v>
      </c>
      <c r="F81" s="94">
        <v>0</v>
      </c>
      <c r="G81" s="94">
        <v>0</v>
      </c>
      <c r="H81" s="94">
        <v>0.2</v>
      </c>
    </row>
    <row r="82" spans="2:8">
      <c r="B82" s="61" t="s">
        <v>359</v>
      </c>
      <c r="C82" s="61" t="s">
        <v>576</v>
      </c>
    </row>
    <row r="83" spans="2:8" ht="15">
      <c r="B83" s="61" t="s">
        <v>577</v>
      </c>
      <c r="C83" s="94">
        <v>0.11</v>
      </c>
      <c r="E83" s="114" t="s">
        <v>578</v>
      </c>
    </row>
    <row r="84" spans="2:8" ht="16.5">
      <c r="B84" s="61" t="s">
        <v>579</v>
      </c>
      <c r="C84" s="443">
        <v>1.05</v>
      </c>
    </row>
    <row r="85" spans="2:8" ht="16.5">
      <c r="B85" s="61" t="s">
        <v>580</v>
      </c>
      <c r="C85" s="443">
        <v>0.09</v>
      </c>
      <c r="E85" s="61" t="s">
        <v>581</v>
      </c>
      <c r="F85" s="61" t="s">
        <v>582</v>
      </c>
      <c r="G85" s="61" t="s">
        <v>583</v>
      </c>
      <c r="H85" s="61" t="s">
        <v>584</v>
      </c>
    </row>
    <row r="86" spans="2:8" ht="16.5">
      <c r="B86" s="61" t="s">
        <v>585</v>
      </c>
      <c r="C86" s="444">
        <v>8.9999999999999998E-4</v>
      </c>
      <c r="E86" s="61" t="s">
        <v>554</v>
      </c>
      <c r="F86" s="94">
        <v>0.22</v>
      </c>
      <c r="G86" s="94">
        <v>0.22</v>
      </c>
      <c r="H86" s="94">
        <v>0.22</v>
      </c>
    </row>
    <row r="87" spans="2:8">
      <c r="B87" s="61" t="s">
        <v>586</v>
      </c>
      <c r="C87" s="94">
        <v>0.18</v>
      </c>
      <c r="E87" s="61" t="s">
        <v>587</v>
      </c>
      <c r="F87" s="94">
        <v>0.13</v>
      </c>
      <c r="G87" s="94">
        <v>0.13</v>
      </c>
      <c r="H87" s="94">
        <v>0.31</v>
      </c>
    </row>
    <row r="88" spans="2:8">
      <c r="B88" s="61" t="s">
        <v>588</v>
      </c>
      <c r="C88" s="94">
        <v>0.48</v>
      </c>
      <c r="E88" s="61" t="s">
        <v>589</v>
      </c>
      <c r="F88" s="94">
        <v>0.09</v>
      </c>
      <c r="G88" s="94">
        <v>0.09</v>
      </c>
      <c r="H88" s="94">
        <v>0.09</v>
      </c>
    </row>
    <row r="89" spans="2:8">
      <c r="E89" s="61" t="s">
        <v>556</v>
      </c>
      <c r="F89" s="94">
        <v>0.38</v>
      </c>
      <c r="G89" s="94">
        <v>0.38</v>
      </c>
      <c r="H89" s="94">
        <v>0.39</v>
      </c>
    </row>
    <row r="90" spans="2:8" ht="15">
      <c r="B90" s="114" t="s">
        <v>590</v>
      </c>
      <c r="E90" s="61" t="s">
        <v>564</v>
      </c>
      <c r="F90" s="94">
        <v>0.22</v>
      </c>
      <c r="G90" s="94">
        <v>0.22</v>
      </c>
      <c r="H90" s="94">
        <v>0.63</v>
      </c>
    </row>
    <row r="91" spans="2:8">
      <c r="E91" s="61" t="s">
        <v>591</v>
      </c>
      <c r="F91" s="94">
        <v>0.31</v>
      </c>
      <c r="G91" s="94">
        <v>0.12</v>
      </c>
      <c r="H91" s="94">
        <v>0.47</v>
      </c>
    </row>
    <row r="92" spans="2:8">
      <c r="B92" s="61" t="s">
        <v>310</v>
      </c>
      <c r="C92" s="61" t="s">
        <v>592</v>
      </c>
      <c r="E92" s="61" t="s">
        <v>593</v>
      </c>
      <c r="F92" s="94">
        <v>0.04</v>
      </c>
      <c r="G92" s="94">
        <v>0.04</v>
      </c>
      <c r="H92" s="94">
        <v>0.04</v>
      </c>
    </row>
    <row r="93" spans="2:8">
      <c r="B93" s="61" t="s">
        <v>366</v>
      </c>
      <c r="C93" s="94">
        <v>1.49</v>
      </c>
      <c r="E93" s="61" t="s">
        <v>594</v>
      </c>
      <c r="F93" s="94">
        <v>0</v>
      </c>
      <c r="G93" s="94">
        <v>0</v>
      </c>
      <c r="H93" s="94">
        <v>0.03</v>
      </c>
    </row>
    <row r="94" spans="2:8">
      <c r="B94" s="61" t="s">
        <v>595</v>
      </c>
      <c r="C94" s="94">
        <v>1.87</v>
      </c>
      <c r="E94" s="61" t="s">
        <v>596</v>
      </c>
      <c r="F94" s="94">
        <v>0</v>
      </c>
      <c r="G94" s="94">
        <v>0</v>
      </c>
      <c r="H94" s="94">
        <v>0.19</v>
      </c>
    </row>
    <row r="95" spans="2:8">
      <c r="B95" s="61" t="s">
        <v>597</v>
      </c>
      <c r="C95" s="94">
        <v>1.77</v>
      </c>
    </row>
    <row r="96" spans="2:8" ht="15">
      <c r="B96" s="61" t="s">
        <v>598</v>
      </c>
      <c r="C96" s="94">
        <v>0.28000000000000003</v>
      </c>
      <c r="E96" s="114" t="s">
        <v>599</v>
      </c>
    </row>
    <row r="97" spans="2:8">
      <c r="B97" s="61" t="s">
        <v>600</v>
      </c>
      <c r="C97" s="94">
        <v>1.77</v>
      </c>
    </row>
    <row r="98" spans="2:8">
      <c r="E98" s="61" t="s">
        <v>601</v>
      </c>
      <c r="F98" s="61" t="s">
        <v>602</v>
      </c>
      <c r="G98" s="61" t="s">
        <v>603</v>
      </c>
    </row>
    <row r="99" spans="2:8" ht="15">
      <c r="B99" s="114" t="s">
        <v>604</v>
      </c>
      <c r="E99" s="61" t="s">
        <v>605</v>
      </c>
      <c r="F99" s="94">
        <v>0.31</v>
      </c>
      <c r="G99" s="94">
        <v>0.38</v>
      </c>
    </row>
    <row r="100" spans="2:8">
      <c r="B100" s="61" t="s">
        <v>606</v>
      </c>
      <c r="C100" s="61" t="s">
        <v>576</v>
      </c>
      <c r="E100" s="61" t="s">
        <v>607</v>
      </c>
      <c r="F100" s="94">
        <v>0.63</v>
      </c>
      <c r="G100" s="94">
        <v>0.75</v>
      </c>
    </row>
    <row r="101" spans="2:8">
      <c r="B101" s="61" t="s">
        <v>608</v>
      </c>
      <c r="C101" s="94">
        <v>7.2</v>
      </c>
      <c r="E101" s="61" t="s">
        <v>609</v>
      </c>
      <c r="F101" s="94">
        <v>1.57</v>
      </c>
      <c r="G101" s="94">
        <v>1.5</v>
      </c>
    </row>
    <row r="102" spans="2:8">
      <c r="B102" s="61" t="s">
        <v>610</v>
      </c>
      <c r="C102" s="94">
        <v>6.42</v>
      </c>
      <c r="E102" s="61" t="s">
        <v>611</v>
      </c>
      <c r="F102" s="94">
        <v>1.88</v>
      </c>
      <c r="G102" s="94">
        <v>1.88</v>
      </c>
    </row>
    <row r="103" spans="2:8">
      <c r="E103" s="61" t="s">
        <v>612</v>
      </c>
      <c r="F103" s="94">
        <v>3.13</v>
      </c>
      <c r="G103" s="94">
        <v>3.38</v>
      </c>
    </row>
    <row r="104" spans="2:8">
      <c r="E104" s="61" t="s">
        <v>613</v>
      </c>
      <c r="F104" s="94">
        <v>3.45</v>
      </c>
      <c r="G104" s="94">
        <v>3.76</v>
      </c>
    </row>
    <row r="105" spans="2:8">
      <c r="E105" s="61" t="s">
        <v>614</v>
      </c>
      <c r="F105" s="94">
        <v>5.01</v>
      </c>
      <c r="G105" s="94">
        <v>3.76</v>
      </c>
    </row>
    <row r="106" spans="2:8">
      <c r="E106" s="61" t="s">
        <v>615</v>
      </c>
      <c r="F106" s="94">
        <v>3.45</v>
      </c>
      <c r="G106" s="94">
        <v>3.76</v>
      </c>
    </row>
    <row r="107" spans="2:8" ht="16.5">
      <c r="E107" s="61" t="s">
        <v>616</v>
      </c>
      <c r="F107" s="94"/>
      <c r="G107" s="444"/>
    </row>
    <row r="108" spans="2:8" ht="16.5">
      <c r="E108" s="61" t="s">
        <v>617</v>
      </c>
      <c r="F108" s="94"/>
      <c r="G108" s="444"/>
    </row>
    <row r="110" spans="2:8" ht="15">
      <c r="E110" s="114" t="s">
        <v>618</v>
      </c>
    </row>
    <row r="112" spans="2:8">
      <c r="E112" s="61" t="s">
        <v>534</v>
      </c>
      <c r="F112" s="61" t="s">
        <v>619</v>
      </c>
      <c r="G112" s="61" t="s">
        <v>620</v>
      </c>
      <c r="H112" s="61" t="s">
        <v>621</v>
      </c>
    </row>
    <row r="113" spans="5:8">
      <c r="E113" s="61" t="s">
        <v>622</v>
      </c>
      <c r="F113" s="61" t="s">
        <v>623</v>
      </c>
      <c r="G113" s="117">
        <v>0.124</v>
      </c>
      <c r="H113" s="117">
        <v>1.6999999999999999E-3</v>
      </c>
    </row>
    <row r="114" spans="5:8">
      <c r="E114" s="61" t="s">
        <v>622</v>
      </c>
      <c r="F114" s="61" t="s">
        <v>624</v>
      </c>
      <c r="G114" s="117">
        <v>2.5999999999999999E-2</v>
      </c>
      <c r="H114" s="117">
        <v>2.0000000000000001E-4</v>
      </c>
    </row>
    <row r="115" spans="5:8">
      <c r="E115" s="61" t="s">
        <v>622</v>
      </c>
      <c r="F115" s="61" t="s">
        <v>625</v>
      </c>
      <c r="G115" s="117">
        <v>0.104</v>
      </c>
      <c r="H115" s="117">
        <v>1E-3</v>
      </c>
    </row>
    <row r="116" spans="5:8">
      <c r="E116" s="61" t="s">
        <v>626</v>
      </c>
      <c r="F116" s="61" t="s">
        <v>623</v>
      </c>
      <c r="G116" s="117">
        <v>0.31</v>
      </c>
      <c r="H116" s="117">
        <v>3.9300000000000002E-2</v>
      </c>
    </row>
    <row r="117" spans="5:8">
      <c r="E117" s="61" t="s">
        <v>626</v>
      </c>
      <c r="F117" s="61" t="s">
        <v>624</v>
      </c>
      <c r="G117" s="117">
        <v>6.7000000000000004E-2</v>
      </c>
      <c r="H117" s="117">
        <v>3.3E-3</v>
      </c>
    </row>
    <row r="118" spans="5:8">
      <c r="E118" s="61" t="s">
        <v>626</v>
      </c>
      <c r="F118" s="61" t="s">
        <v>625</v>
      </c>
      <c r="G118" s="117">
        <v>0.21199999999999999</v>
      </c>
      <c r="H118" s="117">
        <v>1.9699999999999999E-2</v>
      </c>
    </row>
    <row r="119" spans="5:8">
      <c r="E119" s="61" t="s">
        <v>627</v>
      </c>
      <c r="F119" s="61" t="s">
        <v>623</v>
      </c>
      <c r="G119" s="117">
        <v>0.13800000000000001</v>
      </c>
      <c r="H119" s="117">
        <v>4.5999999999999999E-3</v>
      </c>
    </row>
    <row r="120" spans="5:8">
      <c r="E120" s="61" t="s">
        <v>627</v>
      </c>
      <c r="F120" s="61" t="s">
        <v>624</v>
      </c>
      <c r="G120" s="117">
        <v>3.3000000000000002E-2</v>
      </c>
      <c r="H120" s="117">
        <v>5.9999999999999995E-4</v>
      </c>
    </row>
    <row r="121" spans="5:8">
      <c r="E121" s="61" t="s">
        <v>627</v>
      </c>
      <c r="F121" s="61" t="s">
        <v>625</v>
      </c>
      <c r="G121" s="117">
        <v>0.115</v>
      </c>
      <c r="H121" s="117">
        <v>2.8E-3</v>
      </c>
    </row>
  </sheetData>
  <mergeCells count="2">
    <mergeCell ref="A1:I1"/>
    <mergeCell ref="A7:I11"/>
  </mergeCells>
  <pageMargins left="0.7" right="0.7" top="0.75" bottom="0.75" header="0.3" footer="0.3"/>
  <pageSetup scale="52" fitToHeight="0" orientation="landscape" r:id="rId1"/>
  <rowBreaks count="1" manualBreakCount="1">
    <brk id="55" max="16383" man="1"/>
  </rowBreaks>
  <colBreaks count="1" manualBreakCount="1">
    <brk id="1" max="1048575" man="1"/>
  </colBreaks>
  <drawing r:id="rId2"/>
  <tableParts count="14">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C5B5A-95F1-459B-8A82-9A71D21C3058}">
  <sheetPr>
    <tabColor theme="1"/>
    <pageSetUpPr fitToPage="1"/>
  </sheetPr>
  <dimension ref="A1:I122"/>
  <sheetViews>
    <sheetView showGridLines="0" zoomScale="85" zoomScaleNormal="85" workbookViewId="0">
      <selection activeCell="E21" sqref="E21"/>
    </sheetView>
  </sheetViews>
  <sheetFormatPr defaultColWidth="9.140625" defaultRowHeight="12.75"/>
  <cols>
    <col min="1" max="1" width="21.7109375" style="61" customWidth="1"/>
    <col min="2" max="2" width="46" style="61" customWidth="1"/>
    <col min="3" max="3" width="45.28515625" style="61" customWidth="1"/>
    <col min="4" max="4" width="11.28515625" style="61" customWidth="1"/>
    <col min="5" max="5" width="37.42578125" style="61" customWidth="1"/>
    <col min="6" max="6" width="13.140625" style="61" bestFit="1" customWidth="1"/>
    <col min="7" max="7" width="26.140625" style="61" customWidth="1"/>
    <col min="8" max="8" width="14.85546875" style="61" customWidth="1"/>
    <col min="9" max="9" width="21.7109375" style="61" customWidth="1"/>
    <col min="10" max="16384" width="9.140625" style="61"/>
  </cols>
  <sheetData>
    <row r="1" spans="1:9">
      <c r="A1" s="561" t="s">
        <v>513</v>
      </c>
      <c r="B1" s="561"/>
      <c r="C1" s="561"/>
      <c r="D1" s="561"/>
      <c r="E1" s="561"/>
      <c r="F1" s="561"/>
      <c r="G1" s="561"/>
      <c r="H1" s="561"/>
      <c r="I1" s="561"/>
    </row>
    <row r="2" spans="1:9">
      <c r="A2" s="62" t="s">
        <v>1</v>
      </c>
      <c r="B2" s="63" t="str">
        <f>Project_Name</f>
        <v>Completing the I-95 Missing Move and Quonset Connector Ramps</v>
      </c>
    </row>
    <row r="3" spans="1:9">
      <c r="A3" s="62" t="s">
        <v>2</v>
      </c>
      <c r="B3" s="63" t="s">
        <v>56</v>
      </c>
    </row>
    <row r="4" spans="1:9">
      <c r="A4" s="62" t="s">
        <v>4</v>
      </c>
      <c r="B4" s="64">
        <f>Date</f>
        <v>45159</v>
      </c>
    </row>
    <row r="5" spans="1:9" ht="35.1" customHeight="1">
      <c r="A5" s="62"/>
      <c r="B5" s="65"/>
    </row>
    <row r="6" spans="1:9" ht="13.5" thickBot="1">
      <c r="A6" s="62"/>
      <c r="B6" s="65"/>
    </row>
    <row r="7" spans="1:9">
      <c r="A7" s="496" t="s">
        <v>514</v>
      </c>
      <c r="B7" s="562"/>
      <c r="C7" s="562"/>
      <c r="D7" s="562"/>
      <c r="E7" s="562"/>
      <c r="F7" s="562"/>
      <c r="G7" s="562"/>
      <c r="H7" s="562"/>
      <c r="I7" s="563"/>
    </row>
    <row r="8" spans="1:9" ht="50.1" customHeight="1">
      <c r="A8" s="564"/>
      <c r="B8" s="565"/>
      <c r="C8" s="565"/>
      <c r="D8" s="565"/>
      <c r="E8" s="565"/>
      <c r="F8" s="565"/>
      <c r="G8" s="565"/>
      <c r="H8" s="565"/>
      <c r="I8" s="566"/>
    </row>
    <row r="9" spans="1:9">
      <c r="A9" s="564"/>
      <c r="B9" s="565"/>
      <c r="C9" s="565"/>
      <c r="D9" s="565"/>
      <c r="E9" s="565"/>
      <c r="F9" s="565"/>
      <c r="G9" s="565"/>
      <c r="H9" s="565"/>
      <c r="I9" s="566"/>
    </row>
    <row r="10" spans="1:9">
      <c r="A10" s="564"/>
      <c r="B10" s="565"/>
      <c r="C10" s="565"/>
      <c r="D10" s="565"/>
      <c r="E10" s="565"/>
      <c r="F10" s="565"/>
      <c r="G10" s="565"/>
      <c r="H10" s="565"/>
      <c r="I10" s="566"/>
    </row>
    <row r="11" spans="1:9" ht="13.5" thickBot="1">
      <c r="A11" s="567"/>
      <c r="B11" s="568"/>
      <c r="C11" s="568"/>
      <c r="D11" s="568"/>
      <c r="E11" s="568"/>
      <c r="F11" s="568"/>
      <c r="G11" s="568"/>
      <c r="H11" s="568"/>
      <c r="I11" s="569"/>
    </row>
    <row r="13" spans="1:9" ht="15">
      <c r="B13" s="114" t="s">
        <v>515</v>
      </c>
      <c r="E13" s="114" t="s">
        <v>516</v>
      </c>
    </row>
    <row r="15" spans="1:9">
      <c r="B15" s="61" t="s">
        <v>517</v>
      </c>
      <c r="C15" s="61" t="s">
        <v>518</v>
      </c>
      <c r="E15" s="61" t="s">
        <v>21</v>
      </c>
      <c r="F15" s="61" t="s">
        <v>130</v>
      </c>
      <c r="G15" s="61" t="s">
        <v>122</v>
      </c>
      <c r="H15" s="61" t="s">
        <v>131</v>
      </c>
      <c r="I15" s="61" t="s">
        <v>132</v>
      </c>
    </row>
    <row r="16" spans="1:9">
      <c r="B16" s="61" t="s">
        <v>84</v>
      </c>
      <c r="C16" s="94">
        <v>4000</v>
      </c>
      <c r="E16" s="61">
        <v>2022</v>
      </c>
      <c r="F16" s="94">
        <v>16600</v>
      </c>
      <c r="G16" s="94">
        <v>44300</v>
      </c>
      <c r="H16" s="94">
        <v>796700</v>
      </c>
      <c r="I16" s="94">
        <v>56</v>
      </c>
    </row>
    <row r="17" spans="2:9">
      <c r="B17" s="61" t="s">
        <v>85</v>
      </c>
      <c r="C17" s="94">
        <v>78500</v>
      </c>
      <c r="E17" s="61">
        <v>2023</v>
      </c>
      <c r="F17" s="94">
        <v>16800</v>
      </c>
      <c r="G17" s="94">
        <v>45100</v>
      </c>
      <c r="H17" s="94">
        <v>810500</v>
      </c>
      <c r="I17" s="94">
        <v>57</v>
      </c>
    </row>
    <row r="18" spans="2:9">
      <c r="B18" s="61" t="s">
        <v>86</v>
      </c>
      <c r="C18" s="94">
        <v>153700</v>
      </c>
      <c r="E18" s="61">
        <v>2024</v>
      </c>
      <c r="F18" s="94">
        <v>17000</v>
      </c>
      <c r="G18" s="94">
        <v>46000</v>
      </c>
      <c r="H18" s="94">
        <v>824500</v>
      </c>
      <c r="I18" s="94">
        <v>58</v>
      </c>
    </row>
    <row r="19" spans="2:9">
      <c r="B19" s="61" t="s">
        <v>87</v>
      </c>
      <c r="C19" s="94">
        <v>564300</v>
      </c>
      <c r="E19" s="61">
        <v>2025</v>
      </c>
      <c r="F19" s="94">
        <v>17200</v>
      </c>
      <c r="G19" s="94">
        <v>46900</v>
      </c>
      <c r="H19" s="94">
        <v>838800</v>
      </c>
      <c r="I19" s="94">
        <v>59</v>
      </c>
    </row>
    <row r="20" spans="2:9">
      <c r="B20" s="61" t="s">
        <v>88</v>
      </c>
      <c r="C20" s="94">
        <v>11800000</v>
      </c>
      <c r="E20" s="61">
        <v>2026</v>
      </c>
      <c r="F20" s="94">
        <v>17500</v>
      </c>
      <c r="G20" s="94">
        <v>47800</v>
      </c>
      <c r="H20" s="94">
        <v>852100</v>
      </c>
      <c r="I20" s="94">
        <v>60</v>
      </c>
    </row>
    <row r="21" spans="2:9">
      <c r="B21" s="61" t="s">
        <v>89</v>
      </c>
      <c r="C21" s="94">
        <v>213900</v>
      </c>
      <c r="E21" s="61">
        <v>2027</v>
      </c>
      <c r="F21" s="94">
        <v>17900</v>
      </c>
      <c r="G21" s="94">
        <v>48700</v>
      </c>
      <c r="H21" s="94">
        <v>865600</v>
      </c>
      <c r="I21" s="94">
        <v>61</v>
      </c>
    </row>
    <row r="22" spans="2:9">
      <c r="B22" s="61" t="s">
        <v>90</v>
      </c>
      <c r="C22" s="94">
        <v>162600</v>
      </c>
      <c r="E22" s="61">
        <v>2028</v>
      </c>
      <c r="F22" s="94">
        <v>18200</v>
      </c>
      <c r="G22" s="94">
        <v>49500</v>
      </c>
      <c r="H22" s="94">
        <v>879400</v>
      </c>
      <c r="I22" s="94">
        <v>62</v>
      </c>
    </row>
    <row r="23" spans="2:9">
      <c r="B23" s="61" t="s">
        <v>91</v>
      </c>
      <c r="C23" s="94">
        <v>307800</v>
      </c>
      <c r="E23" s="61">
        <v>2029</v>
      </c>
      <c r="F23" s="94">
        <v>18600</v>
      </c>
      <c r="G23" s="94">
        <v>50400</v>
      </c>
      <c r="H23" s="94">
        <v>893400</v>
      </c>
      <c r="I23" s="94">
        <v>63</v>
      </c>
    </row>
    <row r="24" spans="2:9">
      <c r="B24" s="61" t="s">
        <v>92</v>
      </c>
      <c r="C24" s="94">
        <v>13046800</v>
      </c>
      <c r="E24" s="61">
        <v>2030</v>
      </c>
      <c r="F24" s="94">
        <v>18900</v>
      </c>
      <c r="G24" s="94">
        <v>51300</v>
      </c>
      <c r="H24" s="94">
        <v>907600</v>
      </c>
      <c r="I24" s="94">
        <v>65</v>
      </c>
    </row>
    <row r="25" spans="2:9">
      <c r="C25" s="436"/>
      <c r="E25" s="61">
        <v>2031</v>
      </c>
      <c r="F25" s="94">
        <v>18900</v>
      </c>
      <c r="G25" s="94">
        <v>51300</v>
      </c>
      <c r="H25" s="94">
        <v>907600</v>
      </c>
      <c r="I25" s="94">
        <v>66</v>
      </c>
    </row>
    <row r="26" spans="2:9" ht="15">
      <c r="B26" s="114" t="s">
        <v>519</v>
      </c>
      <c r="C26" s="436"/>
      <c r="E26" s="61">
        <v>2032</v>
      </c>
      <c r="F26" s="94">
        <v>18900</v>
      </c>
      <c r="G26" s="94">
        <v>51300</v>
      </c>
      <c r="H26" s="94">
        <v>907600</v>
      </c>
      <c r="I26" s="94">
        <v>67</v>
      </c>
    </row>
    <row r="27" spans="2:9">
      <c r="B27" s="61" t="s">
        <v>520</v>
      </c>
      <c r="C27" s="115" t="s">
        <v>518</v>
      </c>
      <c r="E27" s="61">
        <v>2033</v>
      </c>
      <c r="F27" s="94">
        <v>18900</v>
      </c>
      <c r="G27" s="94">
        <v>51300</v>
      </c>
      <c r="H27" s="94">
        <v>907600</v>
      </c>
      <c r="I27" s="94">
        <v>68</v>
      </c>
    </row>
    <row r="28" spans="2:9">
      <c r="B28" s="61" t="s">
        <v>521</v>
      </c>
      <c r="C28" s="115">
        <v>4800</v>
      </c>
      <c r="E28" s="61">
        <v>2034</v>
      </c>
      <c r="F28" s="94">
        <v>18900</v>
      </c>
      <c r="G28" s="94">
        <v>51300</v>
      </c>
      <c r="H28" s="94">
        <v>907600</v>
      </c>
      <c r="I28" s="94">
        <v>69</v>
      </c>
    </row>
    <row r="29" spans="2:9">
      <c r="E29" s="61">
        <v>2035</v>
      </c>
      <c r="F29" s="94">
        <v>18900</v>
      </c>
      <c r="G29" s="94">
        <v>51300</v>
      </c>
      <c r="H29" s="94">
        <v>907600</v>
      </c>
      <c r="I29" s="94">
        <v>70</v>
      </c>
    </row>
    <row r="30" spans="2:9" ht="15">
      <c r="B30" s="114" t="s">
        <v>522</v>
      </c>
      <c r="E30" s="61">
        <v>2036</v>
      </c>
      <c r="F30" s="94">
        <v>18900</v>
      </c>
      <c r="G30" s="94">
        <v>51300</v>
      </c>
      <c r="H30" s="94">
        <v>907600</v>
      </c>
      <c r="I30" s="94">
        <v>72</v>
      </c>
    </row>
    <row r="31" spans="2:9">
      <c r="E31" s="61">
        <v>2037</v>
      </c>
      <c r="F31" s="94">
        <v>18900</v>
      </c>
      <c r="G31" s="94">
        <v>51300</v>
      </c>
      <c r="H31" s="94">
        <v>907600</v>
      </c>
      <c r="I31" s="94">
        <v>73</v>
      </c>
    </row>
    <row r="32" spans="2:9">
      <c r="B32" s="61" t="s">
        <v>523</v>
      </c>
      <c r="C32" s="61" t="s">
        <v>524</v>
      </c>
      <c r="E32" s="61">
        <v>2038</v>
      </c>
      <c r="F32" s="94">
        <v>18900</v>
      </c>
      <c r="G32" s="94">
        <v>51300</v>
      </c>
      <c r="H32" s="94">
        <v>907600</v>
      </c>
      <c r="I32" s="94">
        <v>74</v>
      </c>
    </row>
    <row r="33" spans="2:9">
      <c r="B33" s="61" t="s">
        <v>525</v>
      </c>
      <c r="C33" s="94">
        <v>17</v>
      </c>
      <c r="E33" s="61">
        <v>2039</v>
      </c>
      <c r="F33" s="94">
        <v>18900</v>
      </c>
      <c r="G33" s="94">
        <v>51300</v>
      </c>
      <c r="H33" s="94">
        <v>907600</v>
      </c>
      <c r="I33" s="94">
        <v>75</v>
      </c>
    </row>
    <row r="34" spans="2:9">
      <c r="B34" s="61" t="s">
        <v>526</v>
      </c>
      <c r="C34" s="94">
        <v>31.9</v>
      </c>
      <c r="E34" s="61">
        <v>2040</v>
      </c>
      <c r="F34" s="94">
        <v>18900</v>
      </c>
      <c r="G34" s="94">
        <v>51300</v>
      </c>
      <c r="H34" s="94">
        <v>907600</v>
      </c>
      <c r="I34" s="94">
        <v>76</v>
      </c>
    </row>
    <row r="35" spans="2:9">
      <c r="B35" s="61" t="s">
        <v>527</v>
      </c>
      <c r="C35" s="94">
        <v>18.8</v>
      </c>
      <c r="E35" s="61">
        <v>2041</v>
      </c>
      <c r="F35" s="94">
        <v>18900</v>
      </c>
      <c r="G35" s="94">
        <v>51300</v>
      </c>
      <c r="H35" s="94">
        <v>907600</v>
      </c>
      <c r="I35" s="94">
        <v>78</v>
      </c>
    </row>
    <row r="36" spans="2:9">
      <c r="B36" s="61" t="s">
        <v>528</v>
      </c>
      <c r="C36" s="94">
        <v>34</v>
      </c>
      <c r="E36" s="61">
        <v>2042</v>
      </c>
      <c r="F36" s="94">
        <v>18900</v>
      </c>
      <c r="G36" s="94">
        <v>51300</v>
      </c>
      <c r="H36" s="94">
        <v>907600</v>
      </c>
      <c r="I36" s="94">
        <v>79</v>
      </c>
    </row>
    <row r="37" spans="2:9">
      <c r="B37" s="61" t="s">
        <v>529</v>
      </c>
      <c r="C37" s="94">
        <v>32.4</v>
      </c>
      <c r="E37" s="61">
        <v>2043</v>
      </c>
      <c r="F37" s="94">
        <v>18900</v>
      </c>
      <c r="G37" s="94">
        <v>51300</v>
      </c>
      <c r="H37" s="94">
        <v>907600</v>
      </c>
      <c r="I37" s="94">
        <v>80</v>
      </c>
    </row>
    <row r="38" spans="2:9">
      <c r="B38" s="61" t="s">
        <v>530</v>
      </c>
      <c r="C38" s="94">
        <v>35</v>
      </c>
      <c r="E38" s="61">
        <v>2044</v>
      </c>
      <c r="F38" s="94">
        <v>18900</v>
      </c>
      <c r="G38" s="94">
        <v>51300</v>
      </c>
      <c r="H38" s="94">
        <v>907600</v>
      </c>
      <c r="I38" s="94">
        <v>81</v>
      </c>
    </row>
    <row r="39" spans="2:9">
      <c r="B39" s="61" t="s">
        <v>531</v>
      </c>
      <c r="C39" s="94">
        <v>58.4</v>
      </c>
      <c r="E39" s="61">
        <v>2045</v>
      </c>
      <c r="F39" s="94">
        <v>18900</v>
      </c>
      <c r="G39" s="94">
        <v>51300</v>
      </c>
      <c r="H39" s="94">
        <v>907600</v>
      </c>
      <c r="I39" s="94">
        <v>82</v>
      </c>
    </row>
    <row r="40" spans="2:9">
      <c r="B40" s="61" t="s">
        <v>532</v>
      </c>
      <c r="C40" s="94">
        <v>57.4</v>
      </c>
      <c r="E40" s="61">
        <v>2046</v>
      </c>
      <c r="F40" s="94">
        <v>18900</v>
      </c>
      <c r="G40" s="94">
        <v>51300</v>
      </c>
      <c r="H40" s="94">
        <v>907600</v>
      </c>
      <c r="I40" s="94">
        <v>84</v>
      </c>
    </row>
    <row r="41" spans="2:9">
      <c r="E41" s="61">
        <v>2047</v>
      </c>
      <c r="F41" s="94">
        <v>18900</v>
      </c>
      <c r="G41" s="94">
        <v>51300</v>
      </c>
      <c r="H41" s="94">
        <v>907600</v>
      </c>
      <c r="I41" s="94">
        <v>85</v>
      </c>
    </row>
    <row r="42" spans="2:9" ht="15">
      <c r="B42" s="114" t="s">
        <v>533</v>
      </c>
      <c r="E42" s="61">
        <v>2048</v>
      </c>
      <c r="F42" s="94">
        <v>18900</v>
      </c>
      <c r="G42" s="94">
        <v>51300</v>
      </c>
      <c r="H42" s="94">
        <v>907600</v>
      </c>
      <c r="I42" s="94">
        <v>86</v>
      </c>
    </row>
    <row r="43" spans="2:9">
      <c r="E43" s="61">
        <v>2049</v>
      </c>
      <c r="F43" s="94">
        <v>18900</v>
      </c>
      <c r="G43" s="94">
        <v>51300</v>
      </c>
      <c r="H43" s="94">
        <v>907600</v>
      </c>
      <c r="I43" s="94">
        <v>87</v>
      </c>
    </row>
    <row r="44" spans="2:9">
      <c r="B44" s="61" t="s">
        <v>534</v>
      </c>
      <c r="C44" s="61" t="s">
        <v>535</v>
      </c>
      <c r="E44" s="61">
        <v>2050</v>
      </c>
      <c r="F44" s="94">
        <v>18900</v>
      </c>
      <c r="G44" s="94">
        <v>51300</v>
      </c>
      <c r="H44" s="94">
        <v>907600</v>
      </c>
      <c r="I44" s="94">
        <v>88</v>
      </c>
    </row>
    <row r="45" spans="2:9">
      <c r="B45" s="61" t="s">
        <v>536</v>
      </c>
      <c r="C45" s="61">
        <v>1.48</v>
      </c>
      <c r="E45" s="61">
        <v>2051</v>
      </c>
      <c r="F45" s="94">
        <v>18900</v>
      </c>
      <c r="G45" s="94">
        <v>51300</v>
      </c>
      <c r="H45" s="94">
        <v>907600</v>
      </c>
      <c r="I45" s="445">
        <v>88</v>
      </c>
    </row>
    <row r="46" spans="2:9">
      <c r="B46" s="61" t="s">
        <v>537</v>
      </c>
      <c r="C46" s="61">
        <v>1.58</v>
      </c>
      <c r="E46" s="61">
        <v>2052</v>
      </c>
      <c r="F46" s="94">
        <v>18900</v>
      </c>
      <c r="G46" s="94">
        <v>51300</v>
      </c>
      <c r="H46" s="94">
        <v>907600</v>
      </c>
      <c r="I46" s="445">
        <v>88</v>
      </c>
    </row>
    <row r="47" spans="2:9">
      <c r="B47" s="61" t="s">
        <v>538</v>
      </c>
      <c r="C47" s="61">
        <v>2.02</v>
      </c>
      <c r="E47" s="61">
        <v>2053</v>
      </c>
      <c r="F47" s="94">
        <v>18900</v>
      </c>
      <c r="G47" s="94">
        <v>51300</v>
      </c>
      <c r="H47" s="94">
        <v>907600</v>
      </c>
      <c r="I47" s="445">
        <v>88</v>
      </c>
    </row>
    <row r="48" spans="2:9">
      <c r="B48" s="61" t="s">
        <v>539</v>
      </c>
      <c r="C48" s="61">
        <v>1.67</v>
      </c>
      <c r="E48" s="61">
        <v>2054</v>
      </c>
      <c r="F48" s="94">
        <v>18900</v>
      </c>
      <c r="G48" s="94">
        <v>51300</v>
      </c>
      <c r="H48" s="94">
        <v>907600</v>
      </c>
      <c r="I48" s="445">
        <v>88</v>
      </c>
    </row>
    <row r="49" spans="2:9">
      <c r="E49" s="61">
        <v>2055</v>
      </c>
      <c r="F49" s="94">
        <v>18900</v>
      </c>
      <c r="G49" s="94">
        <v>51300</v>
      </c>
      <c r="H49" s="94">
        <v>907600</v>
      </c>
      <c r="I49" s="445">
        <v>88</v>
      </c>
    </row>
    <row r="50" spans="2:9" ht="15">
      <c r="B50" s="114" t="s">
        <v>540</v>
      </c>
      <c r="E50" s="61">
        <v>2056</v>
      </c>
      <c r="F50" s="94">
        <v>18900</v>
      </c>
      <c r="G50" s="94">
        <v>51300</v>
      </c>
      <c r="H50" s="94">
        <v>907600</v>
      </c>
      <c r="I50" s="445">
        <v>88</v>
      </c>
    </row>
    <row r="51" spans="2:9">
      <c r="E51" s="61">
        <v>2057</v>
      </c>
      <c r="F51" s="94">
        <v>18900</v>
      </c>
      <c r="G51" s="94">
        <v>51300</v>
      </c>
      <c r="H51" s="94">
        <v>907600</v>
      </c>
      <c r="I51" s="445">
        <v>88</v>
      </c>
    </row>
    <row r="52" spans="2:9">
      <c r="B52" s="61" t="s">
        <v>534</v>
      </c>
      <c r="C52" s="61" t="s">
        <v>541</v>
      </c>
      <c r="E52" s="61">
        <v>2058</v>
      </c>
      <c r="F52" s="94">
        <v>18900</v>
      </c>
      <c r="G52" s="94">
        <v>51300</v>
      </c>
      <c r="H52" s="94">
        <v>907600</v>
      </c>
      <c r="I52" s="445">
        <v>88</v>
      </c>
    </row>
    <row r="53" spans="2:9">
      <c r="B53" s="61" t="s">
        <v>542</v>
      </c>
      <c r="C53" s="94">
        <v>0.46</v>
      </c>
      <c r="E53" s="61">
        <v>2059</v>
      </c>
      <c r="F53" s="94">
        <v>18900</v>
      </c>
      <c r="G53" s="94">
        <v>51300</v>
      </c>
      <c r="H53" s="94">
        <v>907600</v>
      </c>
      <c r="I53" s="445">
        <v>88</v>
      </c>
    </row>
    <row r="54" spans="2:9">
      <c r="B54" s="61" t="s">
        <v>543</v>
      </c>
      <c r="C54" s="94">
        <v>1.01</v>
      </c>
    </row>
    <row r="55" spans="2:9" ht="15.75">
      <c r="C55" s="436"/>
      <c r="E55" s="61" t="s">
        <v>544</v>
      </c>
    </row>
    <row r="56" spans="2:9">
      <c r="C56" s="436"/>
    </row>
    <row r="57" spans="2:9" ht="15">
      <c r="B57" s="114" t="s">
        <v>545</v>
      </c>
      <c r="E57" s="114" t="s">
        <v>546</v>
      </c>
    </row>
    <row r="59" spans="2:9">
      <c r="B59" s="61" t="s">
        <v>547</v>
      </c>
      <c r="C59" s="61" t="s">
        <v>548</v>
      </c>
      <c r="E59" s="61" t="s">
        <v>549</v>
      </c>
      <c r="F59" s="61" t="s">
        <v>550</v>
      </c>
      <c r="G59" s="61" t="s">
        <v>551</v>
      </c>
      <c r="H59" s="61" t="s">
        <v>552</v>
      </c>
    </row>
    <row r="60" spans="2:9">
      <c r="B60" s="61">
        <v>2003</v>
      </c>
      <c r="C60" s="446">
        <v>1.44</v>
      </c>
      <c r="E60" s="61" t="s">
        <v>553</v>
      </c>
      <c r="F60" s="94">
        <v>0.03</v>
      </c>
      <c r="G60" s="94">
        <v>0.03</v>
      </c>
      <c r="H60" s="94">
        <v>0.06</v>
      </c>
    </row>
    <row r="61" spans="2:9">
      <c r="B61" s="61">
        <v>2004</v>
      </c>
      <c r="C61" s="446">
        <v>1.4</v>
      </c>
      <c r="E61" s="61" t="s">
        <v>554</v>
      </c>
      <c r="F61" s="94">
        <v>0.31</v>
      </c>
      <c r="G61" s="94">
        <v>0.15</v>
      </c>
      <c r="H61" s="94">
        <v>0.86</v>
      </c>
    </row>
    <row r="62" spans="2:9">
      <c r="B62" s="61">
        <v>2005</v>
      </c>
      <c r="C62" s="446">
        <v>1.36</v>
      </c>
      <c r="E62" s="61" t="s">
        <v>555</v>
      </c>
      <c r="F62" s="94">
        <v>0.24</v>
      </c>
      <c r="G62" s="94">
        <v>0.24</v>
      </c>
      <c r="H62" s="94">
        <v>0.11</v>
      </c>
    </row>
    <row r="63" spans="2:9">
      <c r="B63" s="61">
        <v>2006</v>
      </c>
      <c r="C63" s="446">
        <v>1.32</v>
      </c>
      <c r="E63" s="61" t="s">
        <v>556</v>
      </c>
      <c r="F63" s="94">
        <v>0.31</v>
      </c>
      <c r="G63" s="94">
        <v>0.05</v>
      </c>
      <c r="H63" s="94">
        <v>0.1</v>
      </c>
    </row>
    <row r="64" spans="2:9">
      <c r="B64" s="61">
        <v>2007</v>
      </c>
      <c r="C64" s="446">
        <v>1.28</v>
      </c>
      <c r="E64" s="61" t="s">
        <v>557</v>
      </c>
      <c r="F64" s="94">
        <v>0.19</v>
      </c>
      <c r="G64" s="94">
        <v>0.13</v>
      </c>
      <c r="H64" s="94">
        <v>0.13</v>
      </c>
    </row>
    <row r="65" spans="2:8">
      <c r="B65" s="61">
        <v>2008</v>
      </c>
      <c r="C65" s="446">
        <v>1.26</v>
      </c>
      <c r="E65" s="61" t="s">
        <v>558</v>
      </c>
      <c r="F65" s="94">
        <v>0.25</v>
      </c>
      <c r="G65" s="94">
        <v>0.16</v>
      </c>
      <c r="H65" s="94">
        <v>0.13</v>
      </c>
    </row>
    <row r="66" spans="2:8">
      <c r="B66" s="61">
        <v>2009</v>
      </c>
      <c r="C66" s="446">
        <v>1.25</v>
      </c>
      <c r="E66" s="61" t="s">
        <v>559</v>
      </c>
      <c r="F66" s="94">
        <v>0.14000000000000001</v>
      </c>
      <c r="G66" s="94">
        <v>0.14000000000000001</v>
      </c>
      <c r="H66" s="94">
        <v>0.1</v>
      </c>
    </row>
    <row r="67" spans="2:8">
      <c r="B67" s="61">
        <v>2010</v>
      </c>
      <c r="C67" s="446">
        <v>1.24</v>
      </c>
      <c r="E67" s="61" t="s">
        <v>560</v>
      </c>
      <c r="F67" s="94">
        <v>0.11</v>
      </c>
      <c r="G67" s="94">
        <v>0.11</v>
      </c>
      <c r="H67" s="94">
        <v>0.06</v>
      </c>
    </row>
    <row r="68" spans="2:8">
      <c r="B68" s="61">
        <v>2011</v>
      </c>
      <c r="C68" s="446">
        <v>1.21</v>
      </c>
      <c r="E68" s="61" t="s">
        <v>561</v>
      </c>
      <c r="F68" s="94">
        <v>0.08</v>
      </c>
      <c r="G68" s="94">
        <v>0.03</v>
      </c>
      <c r="H68" s="94">
        <v>0.18</v>
      </c>
    </row>
    <row r="69" spans="2:8">
      <c r="B69" s="61">
        <v>2012</v>
      </c>
      <c r="C69" s="446">
        <v>1.19</v>
      </c>
      <c r="E69" s="61" t="s">
        <v>562</v>
      </c>
      <c r="F69" s="94">
        <v>0.32</v>
      </c>
      <c r="G69" s="94">
        <v>0.32</v>
      </c>
      <c r="H69" s="94">
        <v>0.2</v>
      </c>
    </row>
    <row r="70" spans="2:8">
      <c r="B70" s="61">
        <v>2013</v>
      </c>
      <c r="C70" s="446">
        <v>1.17</v>
      </c>
      <c r="E70" s="61" t="s">
        <v>563</v>
      </c>
      <c r="F70" s="94">
        <v>0.42</v>
      </c>
      <c r="G70" s="94">
        <v>0.08</v>
      </c>
      <c r="H70" s="94">
        <v>7.0000000000000007E-2</v>
      </c>
    </row>
    <row r="71" spans="2:8">
      <c r="B71" s="61">
        <v>2014</v>
      </c>
      <c r="C71" s="446">
        <v>1.1499999999999999</v>
      </c>
      <c r="E71" s="61" t="s">
        <v>564</v>
      </c>
      <c r="F71" s="94">
        <v>0.31</v>
      </c>
      <c r="G71" s="94">
        <v>0.31</v>
      </c>
      <c r="H71" s="94">
        <v>0.32</v>
      </c>
    </row>
    <row r="72" spans="2:8">
      <c r="B72" s="61">
        <v>2015</v>
      </c>
      <c r="C72" s="446">
        <v>1.1399999999999999</v>
      </c>
      <c r="E72" s="61" t="s">
        <v>565</v>
      </c>
      <c r="F72" s="94">
        <v>0.62</v>
      </c>
      <c r="G72" s="94">
        <v>0.62</v>
      </c>
      <c r="H72" s="94">
        <v>0.62</v>
      </c>
    </row>
    <row r="73" spans="2:8">
      <c r="B73" s="61">
        <v>2016</v>
      </c>
      <c r="C73" s="446">
        <v>1.1200000000000001</v>
      </c>
      <c r="E73" s="61" t="s">
        <v>566</v>
      </c>
      <c r="F73" s="94">
        <v>0.1</v>
      </c>
      <c r="G73" s="94">
        <v>0.1</v>
      </c>
      <c r="H73" s="94">
        <v>7.0000000000000007E-2</v>
      </c>
    </row>
    <row r="74" spans="2:8">
      <c r="B74" s="61">
        <v>2017</v>
      </c>
      <c r="C74" s="446">
        <v>1.1000000000000001</v>
      </c>
      <c r="E74" s="61" t="s">
        <v>567</v>
      </c>
      <c r="F74" s="94">
        <v>0.23</v>
      </c>
      <c r="G74" s="94">
        <v>0.1</v>
      </c>
      <c r="H74" s="94">
        <v>0.48</v>
      </c>
    </row>
    <row r="75" spans="2:8">
      <c r="B75" s="61">
        <v>2018</v>
      </c>
      <c r="C75" s="446">
        <v>1.08</v>
      </c>
      <c r="E75" s="61" t="s">
        <v>568</v>
      </c>
      <c r="F75" s="94">
        <v>0</v>
      </c>
      <c r="G75" s="94">
        <v>0</v>
      </c>
      <c r="H75" s="94">
        <v>0.1</v>
      </c>
    </row>
    <row r="76" spans="2:8">
      <c r="B76" s="61">
        <v>2019</v>
      </c>
      <c r="C76" s="446">
        <v>1.06</v>
      </c>
      <c r="E76" s="61" t="s">
        <v>569</v>
      </c>
      <c r="F76" s="94">
        <v>0</v>
      </c>
      <c r="G76" s="94">
        <v>0</v>
      </c>
      <c r="H76" s="94">
        <v>0.11</v>
      </c>
    </row>
    <row r="77" spans="2:8">
      <c r="B77" s="61">
        <v>2020</v>
      </c>
      <c r="C77" s="446">
        <v>1.04</v>
      </c>
      <c r="E77" s="61" t="s">
        <v>570</v>
      </c>
      <c r="F77" s="94">
        <v>0</v>
      </c>
      <c r="G77" s="94">
        <v>0</v>
      </c>
      <c r="H77" s="94">
        <v>7.0000000000000007E-2</v>
      </c>
    </row>
    <row r="78" spans="2:8">
      <c r="B78" s="61">
        <v>2021</v>
      </c>
      <c r="C78" s="446">
        <v>1</v>
      </c>
      <c r="E78" s="61" t="s">
        <v>571</v>
      </c>
      <c r="F78" s="94">
        <v>0</v>
      </c>
      <c r="G78" s="94">
        <v>0</v>
      </c>
      <c r="H78" s="94">
        <v>0.04</v>
      </c>
    </row>
    <row r="79" spans="2:8">
      <c r="E79" s="61" t="s">
        <v>572</v>
      </c>
      <c r="F79" s="94">
        <v>0</v>
      </c>
      <c r="G79" s="94">
        <v>0</v>
      </c>
      <c r="H79" s="94">
        <v>0.09</v>
      </c>
    </row>
    <row r="80" spans="2:8" ht="15">
      <c r="B80" s="114" t="s">
        <v>573</v>
      </c>
      <c r="E80" s="61" t="s">
        <v>574</v>
      </c>
      <c r="F80" s="94">
        <v>0</v>
      </c>
      <c r="G80" s="94">
        <v>0</v>
      </c>
      <c r="H80" s="94">
        <v>0.05</v>
      </c>
    </row>
    <row r="81" spans="2:8">
      <c r="E81" s="61" t="s">
        <v>575</v>
      </c>
      <c r="F81" s="94">
        <v>0</v>
      </c>
      <c r="G81" s="94">
        <v>0</v>
      </c>
      <c r="H81" s="94">
        <v>0.2</v>
      </c>
    </row>
    <row r="82" spans="2:8">
      <c r="B82" s="61" t="s">
        <v>359</v>
      </c>
      <c r="C82" s="61" t="s">
        <v>576</v>
      </c>
    </row>
    <row r="83" spans="2:8" ht="15">
      <c r="B83" s="61" t="s">
        <v>577</v>
      </c>
      <c r="C83" s="94">
        <v>0.11</v>
      </c>
      <c r="E83" s="114" t="s">
        <v>578</v>
      </c>
    </row>
    <row r="84" spans="2:8" ht="16.5">
      <c r="B84" s="61" t="s">
        <v>579</v>
      </c>
      <c r="C84" s="443">
        <v>1.05</v>
      </c>
    </row>
    <row r="85" spans="2:8" ht="16.5">
      <c r="B85" s="61" t="s">
        <v>580</v>
      </c>
      <c r="C85" s="443">
        <v>0.09</v>
      </c>
      <c r="E85" s="61" t="s">
        <v>581</v>
      </c>
      <c r="F85" s="61" t="s">
        <v>582</v>
      </c>
      <c r="G85" s="61" t="s">
        <v>583</v>
      </c>
      <c r="H85" s="61" t="s">
        <v>584</v>
      </c>
    </row>
    <row r="86" spans="2:8" ht="16.5">
      <c r="B86" s="61" t="s">
        <v>585</v>
      </c>
      <c r="C86" s="444">
        <v>8.9999999999999998E-4</v>
      </c>
      <c r="E86" s="61" t="s">
        <v>554</v>
      </c>
      <c r="F86" s="94">
        <v>0.22</v>
      </c>
      <c r="G86" s="94">
        <v>0.22</v>
      </c>
      <c r="H86" s="94">
        <v>0.22</v>
      </c>
    </row>
    <row r="87" spans="2:8">
      <c r="B87" s="61" t="s">
        <v>586</v>
      </c>
      <c r="C87" s="94">
        <v>0.18</v>
      </c>
      <c r="E87" s="61" t="s">
        <v>587</v>
      </c>
      <c r="F87" s="94">
        <v>0.13</v>
      </c>
      <c r="G87" s="94">
        <v>0.13</v>
      </c>
      <c r="H87" s="94">
        <v>0.31</v>
      </c>
    </row>
    <row r="88" spans="2:8">
      <c r="B88" s="61" t="s">
        <v>588</v>
      </c>
      <c r="C88" s="94">
        <v>0.48</v>
      </c>
      <c r="E88" s="61" t="s">
        <v>589</v>
      </c>
      <c r="F88" s="94">
        <v>0.09</v>
      </c>
      <c r="G88" s="94">
        <v>0.09</v>
      </c>
      <c r="H88" s="94">
        <v>0.09</v>
      </c>
    </row>
    <row r="89" spans="2:8">
      <c r="E89" s="61" t="s">
        <v>556</v>
      </c>
      <c r="F89" s="94">
        <v>0.38</v>
      </c>
      <c r="G89" s="94">
        <v>0.38</v>
      </c>
      <c r="H89" s="94">
        <v>0.39</v>
      </c>
    </row>
    <row r="90" spans="2:8" ht="15">
      <c r="B90" s="114" t="s">
        <v>590</v>
      </c>
      <c r="E90" s="61" t="s">
        <v>564</v>
      </c>
      <c r="F90" s="94">
        <v>0.22</v>
      </c>
      <c r="G90" s="94">
        <v>0.22</v>
      </c>
      <c r="H90" s="94">
        <v>0.63</v>
      </c>
    </row>
    <row r="91" spans="2:8">
      <c r="E91" s="61" t="s">
        <v>591</v>
      </c>
      <c r="F91" s="94">
        <v>0.31</v>
      </c>
      <c r="G91" s="94">
        <v>0.12</v>
      </c>
      <c r="H91" s="94">
        <v>0.47</v>
      </c>
    </row>
    <row r="92" spans="2:8">
      <c r="B92" s="61" t="s">
        <v>310</v>
      </c>
      <c r="C92" s="61" t="s">
        <v>628</v>
      </c>
      <c r="E92" s="61" t="s">
        <v>593</v>
      </c>
      <c r="F92" s="94">
        <v>0.04</v>
      </c>
      <c r="G92" s="94">
        <v>0.04</v>
      </c>
      <c r="H92" s="94">
        <v>0.04</v>
      </c>
    </row>
    <row r="93" spans="2:8">
      <c r="B93" s="61" t="s">
        <v>366</v>
      </c>
      <c r="C93" s="94">
        <v>1.49</v>
      </c>
      <c r="E93" s="61" t="s">
        <v>594</v>
      </c>
      <c r="F93" s="94">
        <v>0</v>
      </c>
      <c r="G93" s="94">
        <v>0</v>
      </c>
      <c r="H93" s="94">
        <v>0.03</v>
      </c>
    </row>
    <row r="94" spans="2:8">
      <c r="B94" s="61" t="s">
        <v>595</v>
      </c>
      <c r="C94" s="94">
        <v>1.87</v>
      </c>
      <c r="E94" s="61" t="s">
        <v>596</v>
      </c>
      <c r="F94" s="94">
        <v>0</v>
      </c>
      <c r="G94" s="94">
        <v>0</v>
      </c>
      <c r="H94" s="94">
        <v>0.19</v>
      </c>
    </row>
    <row r="95" spans="2:8">
      <c r="B95" s="61" t="s">
        <v>597</v>
      </c>
      <c r="C95" s="94">
        <v>1.77</v>
      </c>
    </row>
    <row r="96" spans="2:8" ht="15">
      <c r="B96" s="61" t="s">
        <v>598</v>
      </c>
      <c r="C96" s="94">
        <v>0.28000000000000003</v>
      </c>
      <c r="E96" s="114" t="s">
        <v>599</v>
      </c>
    </row>
    <row r="97" spans="2:8">
      <c r="B97" s="61" t="s">
        <v>600</v>
      </c>
      <c r="C97" s="94">
        <v>1.77</v>
      </c>
    </row>
    <row r="98" spans="2:8">
      <c r="E98" s="61" t="s">
        <v>601</v>
      </c>
      <c r="F98" s="61" t="s">
        <v>602</v>
      </c>
      <c r="G98" s="61" t="s">
        <v>603</v>
      </c>
    </row>
    <row r="99" spans="2:8" ht="15">
      <c r="B99" s="114" t="s">
        <v>629</v>
      </c>
      <c r="E99" s="61" t="s">
        <v>605</v>
      </c>
      <c r="F99" s="94">
        <v>0.31</v>
      </c>
      <c r="G99" s="94">
        <v>0.38</v>
      </c>
      <c r="H99" s="436"/>
    </row>
    <row r="100" spans="2:8">
      <c r="B100" s="61" t="s">
        <v>606</v>
      </c>
      <c r="C100" s="61" t="s">
        <v>576</v>
      </c>
      <c r="E100" s="61" t="s">
        <v>607</v>
      </c>
      <c r="F100" s="94">
        <v>0.63</v>
      </c>
      <c r="G100" s="94">
        <v>0.75</v>
      </c>
      <c r="H100" s="436"/>
    </row>
    <row r="101" spans="2:8">
      <c r="B101" s="61" t="s">
        <v>608</v>
      </c>
      <c r="C101" s="94">
        <v>7.2</v>
      </c>
      <c r="E101" s="61" t="s">
        <v>609</v>
      </c>
      <c r="F101" s="94">
        <v>1.57</v>
      </c>
      <c r="G101" s="94">
        <v>1.5</v>
      </c>
      <c r="H101" s="436"/>
    </row>
    <row r="102" spans="2:8">
      <c r="B102" s="61" t="s">
        <v>610</v>
      </c>
      <c r="C102" s="94">
        <v>6.42</v>
      </c>
      <c r="E102" s="61" t="s">
        <v>611</v>
      </c>
      <c r="F102" s="94">
        <v>1.88</v>
      </c>
      <c r="G102" s="94">
        <v>1.88</v>
      </c>
      <c r="H102" s="436"/>
    </row>
    <row r="103" spans="2:8">
      <c r="E103" s="61" t="s">
        <v>612</v>
      </c>
      <c r="F103" s="94">
        <v>3.13</v>
      </c>
      <c r="G103" s="94">
        <v>3.38</v>
      </c>
      <c r="H103" s="436"/>
    </row>
    <row r="104" spans="2:8">
      <c r="E104" s="61" t="s">
        <v>613</v>
      </c>
      <c r="F104" s="94">
        <v>3.45</v>
      </c>
      <c r="G104" s="94">
        <v>3.76</v>
      </c>
      <c r="H104" s="436"/>
    </row>
    <row r="105" spans="2:8">
      <c r="E105" s="61" t="s">
        <v>614</v>
      </c>
      <c r="F105" s="94">
        <v>5.01</v>
      </c>
      <c r="G105" s="94">
        <v>3.76</v>
      </c>
      <c r="H105" s="436"/>
    </row>
    <row r="106" spans="2:8">
      <c r="E106" s="61" t="s">
        <v>615</v>
      </c>
      <c r="F106" s="94">
        <v>3.45</v>
      </c>
      <c r="G106" s="94">
        <v>3.76</v>
      </c>
      <c r="H106" s="436"/>
    </row>
    <row r="107" spans="2:8">
      <c r="E107" s="61" t="s">
        <v>616</v>
      </c>
      <c r="F107" s="94"/>
      <c r="G107" s="94"/>
    </row>
    <row r="108" spans="2:8">
      <c r="E108" s="61" t="s">
        <v>617</v>
      </c>
      <c r="F108" s="94"/>
      <c r="G108" s="94"/>
    </row>
    <row r="111" spans="2:8" ht="15">
      <c r="E111" s="114" t="s">
        <v>618</v>
      </c>
    </row>
    <row r="113" spans="5:8">
      <c r="E113" s="61" t="s">
        <v>534</v>
      </c>
      <c r="F113" s="61" t="s">
        <v>619</v>
      </c>
      <c r="G113" s="61" t="s">
        <v>620</v>
      </c>
      <c r="H113" s="61" t="s">
        <v>621</v>
      </c>
    </row>
    <row r="114" spans="5:8">
      <c r="E114" s="61" t="s">
        <v>622</v>
      </c>
      <c r="F114" s="61" t="s">
        <v>623</v>
      </c>
      <c r="G114" s="117">
        <v>0.124</v>
      </c>
      <c r="H114" s="117">
        <v>1.6999999999999999E-3</v>
      </c>
    </row>
    <row r="115" spans="5:8">
      <c r="E115" s="61" t="s">
        <v>622</v>
      </c>
      <c r="F115" s="61" t="s">
        <v>624</v>
      </c>
      <c r="G115" s="117">
        <v>2.5999999999999999E-2</v>
      </c>
      <c r="H115" s="117">
        <v>2.0000000000000001E-4</v>
      </c>
    </row>
    <row r="116" spans="5:8">
      <c r="E116" s="61" t="s">
        <v>622</v>
      </c>
      <c r="F116" s="61" t="s">
        <v>625</v>
      </c>
      <c r="G116" s="117">
        <v>0.104</v>
      </c>
      <c r="H116" s="117">
        <v>1E-3</v>
      </c>
    </row>
    <row r="117" spans="5:8">
      <c r="E117" s="61" t="s">
        <v>626</v>
      </c>
      <c r="F117" s="61" t="s">
        <v>623</v>
      </c>
      <c r="G117" s="117">
        <v>0.31</v>
      </c>
      <c r="H117" s="117">
        <v>3.9300000000000002E-2</v>
      </c>
    </row>
    <row r="118" spans="5:8">
      <c r="E118" s="61" t="s">
        <v>626</v>
      </c>
      <c r="F118" s="61" t="s">
        <v>624</v>
      </c>
      <c r="G118" s="117">
        <v>6.7000000000000004E-2</v>
      </c>
      <c r="H118" s="117">
        <v>3.3E-3</v>
      </c>
    </row>
    <row r="119" spans="5:8">
      <c r="E119" s="61" t="s">
        <v>626</v>
      </c>
      <c r="F119" s="61" t="s">
        <v>625</v>
      </c>
      <c r="G119" s="117">
        <v>0.21199999999999999</v>
      </c>
      <c r="H119" s="117">
        <v>1.9699999999999999E-2</v>
      </c>
    </row>
    <row r="120" spans="5:8">
      <c r="E120" s="61" t="s">
        <v>627</v>
      </c>
      <c r="F120" s="61" t="s">
        <v>623</v>
      </c>
      <c r="G120" s="117">
        <v>0.13800000000000001</v>
      </c>
      <c r="H120" s="117">
        <v>4.5999999999999999E-3</v>
      </c>
    </row>
    <row r="121" spans="5:8">
      <c r="E121" s="61" t="s">
        <v>627</v>
      </c>
      <c r="F121" s="61" t="s">
        <v>624</v>
      </c>
      <c r="G121" s="117">
        <v>3.3000000000000002E-2</v>
      </c>
      <c r="H121" s="117">
        <v>5.9999999999999995E-4</v>
      </c>
    </row>
    <row r="122" spans="5:8">
      <c r="E122" s="61" t="s">
        <v>627</v>
      </c>
      <c r="F122" s="61" t="s">
        <v>625</v>
      </c>
      <c r="G122" s="117">
        <v>0.115</v>
      </c>
      <c r="H122" s="117">
        <v>2.8E-3</v>
      </c>
    </row>
  </sheetData>
  <mergeCells count="2">
    <mergeCell ref="A1:I1"/>
    <mergeCell ref="A7:I11"/>
  </mergeCells>
  <dataValidations count="1">
    <dataValidation allowBlank="1" showInputMessage="1" showErrorMessage="1" sqref="A1" xr:uid="{9FC7378E-F3FA-4363-BF2D-95984876D96B}"/>
  </dataValidations>
  <pageMargins left="0.7" right="0.7" top="0.75" bottom="0.75" header="0.3" footer="0.3"/>
  <pageSetup scale="52" fitToHeight="0" orientation="landscape" r:id="rId1"/>
  <rowBreaks count="1" manualBreakCount="1">
    <brk id="55" max="16383" man="1"/>
  </rowBreaks>
  <colBreaks count="1" manualBreakCount="1">
    <brk id="1" max="1048575" man="1"/>
  </colBreaks>
  <drawing r:id="rId2"/>
  <tableParts count="14">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AFFD7-8118-45E6-9DFF-693F1690B962}">
  <sheetPr>
    <tabColor theme="1"/>
    <pageSetUpPr fitToPage="1"/>
  </sheetPr>
  <dimension ref="A1:I55"/>
  <sheetViews>
    <sheetView showGridLines="0" workbookViewId="0">
      <selection activeCell="F15" sqref="F15"/>
    </sheetView>
  </sheetViews>
  <sheetFormatPr defaultColWidth="9.140625" defaultRowHeight="12.75"/>
  <cols>
    <col min="1" max="1" width="15.7109375" style="61" customWidth="1"/>
    <col min="2" max="2" width="18.140625" style="61" customWidth="1"/>
    <col min="3" max="3" width="37.28515625" style="61" bestFit="1" customWidth="1"/>
    <col min="4" max="4" width="15.7109375" style="61" customWidth="1"/>
    <col min="5" max="5" width="36.5703125" style="61" customWidth="1"/>
    <col min="6" max="9" width="15.7109375" style="61" customWidth="1"/>
    <col min="10" max="16384" width="9.140625" style="61"/>
  </cols>
  <sheetData>
    <row r="1" spans="1:9">
      <c r="A1" s="561" t="s">
        <v>630</v>
      </c>
      <c r="B1" s="561"/>
      <c r="C1" s="561"/>
      <c r="D1" s="561"/>
      <c r="E1" s="561"/>
      <c r="F1" s="561"/>
      <c r="G1" s="561"/>
      <c r="H1" s="561"/>
      <c r="I1" s="561"/>
    </row>
    <row r="2" spans="1:9">
      <c r="A2" s="62" t="s">
        <v>1</v>
      </c>
      <c r="B2" s="63" t="str">
        <f>Project_Name</f>
        <v>Completing the I-95 Missing Move and Quonset Connector Ramps</v>
      </c>
    </row>
    <row r="3" spans="1:9">
      <c r="A3" s="62" t="s">
        <v>2</v>
      </c>
      <c r="B3" s="63" t="s">
        <v>29</v>
      </c>
    </row>
    <row r="4" spans="1:9">
      <c r="A4" s="62" t="s">
        <v>4</v>
      </c>
      <c r="B4" s="64">
        <f>Date</f>
        <v>45159</v>
      </c>
    </row>
    <row r="5" spans="1:9" ht="30" customHeight="1">
      <c r="A5" s="62"/>
      <c r="B5" s="65"/>
    </row>
    <row r="6" spans="1:9" ht="13.5" thickBot="1">
      <c r="A6" s="62"/>
      <c r="B6" s="65"/>
    </row>
    <row r="7" spans="1:9" ht="84.75" customHeight="1" thickBot="1">
      <c r="A7" s="570" t="s">
        <v>631</v>
      </c>
      <c r="B7" s="571"/>
      <c r="C7" s="571"/>
      <c r="D7" s="571"/>
      <c r="E7" s="571"/>
      <c r="F7" s="571"/>
      <c r="G7" s="571"/>
      <c r="H7" s="571"/>
      <c r="I7" s="572"/>
    </row>
    <row r="9" spans="1:9" ht="15">
      <c r="B9" s="114" t="s">
        <v>632</v>
      </c>
      <c r="E9" s="114" t="s">
        <v>633</v>
      </c>
    </row>
    <row r="11" spans="1:9">
      <c r="B11" s="61" t="s">
        <v>634</v>
      </c>
      <c r="C11" s="61" t="s">
        <v>8</v>
      </c>
      <c r="E11" s="61" t="s">
        <v>634</v>
      </c>
      <c r="F11" s="61" t="s">
        <v>8</v>
      </c>
    </row>
    <row r="12" spans="1:9" ht="25.5">
      <c r="B12" s="61" t="s">
        <v>635</v>
      </c>
      <c r="C12" s="67" t="s">
        <v>636</v>
      </c>
      <c r="E12" s="61" t="s">
        <v>637</v>
      </c>
      <c r="F12" s="61">
        <v>2023</v>
      </c>
    </row>
    <row r="13" spans="1:9">
      <c r="B13" s="61" t="s">
        <v>638</v>
      </c>
      <c r="C13" s="118">
        <v>45159</v>
      </c>
      <c r="E13" s="61" t="s">
        <v>639</v>
      </c>
      <c r="F13" s="61">
        <v>2024</v>
      </c>
    </row>
    <row r="14" spans="1:9">
      <c r="B14" s="61" t="s">
        <v>640</v>
      </c>
      <c r="C14" s="61">
        <v>2023</v>
      </c>
      <c r="E14" s="61" t="s">
        <v>641</v>
      </c>
      <c r="F14" s="61">
        <v>2025</v>
      </c>
    </row>
    <row r="15" spans="1:9">
      <c r="B15" s="61" t="s">
        <v>642</v>
      </c>
      <c r="C15" s="61">
        <v>2058</v>
      </c>
      <c r="E15" s="61" t="s">
        <v>643</v>
      </c>
      <c r="F15" s="61">
        <v>2027</v>
      </c>
    </row>
    <row r="17" spans="2:3" ht="15">
      <c r="B17" s="114" t="s">
        <v>644</v>
      </c>
    </row>
    <row r="18" spans="2:3" ht="15">
      <c r="B18" s="114"/>
    </row>
    <row r="19" spans="2:3">
      <c r="B19" s="61" t="s">
        <v>645</v>
      </c>
      <c r="C19" s="61" t="s">
        <v>21</v>
      </c>
    </row>
    <row r="20" spans="2:3">
      <c r="B20" s="61">
        <v>0</v>
      </c>
      <c r="C20" s="61">
        <f>First_Year+Table39[[#This Row],[Year Number]]</f>
        <v>2023</v>
      </c>
    </row>
    <row r="21" spans="2:3">
      <c r="B21" s="61">
        <f>B20+1</f>
        <v>1</v>
      </c>
      <c r="C21" s="61">
        <f>First_Year+Table39[[#This Row],[Year Number]]</f>
        <v>2024</v>
      </c>
    </row>
    <row r="22" spans="2:3">
      <c r="B22" s="61">
        <f t="shared" ref="B22:B55" si="0">B21+1</f>
        <v>2</v>
      </c>
      <c r="C22" s="61">
        <f>First_Year+Table39[[#This Row],[Year Number]]</f>
        <v>2025</v>
      </c>
    </row>
    <row r="23" spans="2:3">
      <c r="B23" s="61">
        <f t="shared" si="0"/>
        <v>3</v>
      </c>
      <c r="C23" s="61">
        <f>First_Year+Table39[[#This Row],[Year Number]]</f>
        <v>2026</v>
      </c>
    </row>
    <row r="24" spans="2:3">
      <c r="B24" s="61">
        <f t="shared" si="0"/>
        <v>4</v>
      </c>
      <c r="C24" s="61">
        <f>First_Year+Table39[[#This Row],[Year Number]]</f>
        <v>2027</v>
      </c>
    </row>
    <row r="25" spans="2:3">
      <c r="B25" s="61">
        <f t="shared" si="0"/>
        <v>5</v>
      </c>
      <c r="C25" s="61">
        <f>First_Year+Table39[[#This Row],[Year Number]]</f>
        <v>2028</v>
      </c>
    </row>
    <row r="26" spans="2:3">
      <c r="B26" s="61">
        <f t="shared" si="0"/>
        <v>6</v>
      </c>
      <c r="C26" s="61">
        <f>First_Year+Table39[[#This Row],[Year Number]]</f>
        <v>2029</v>
      </c>
    </row>
    <row r="27" spans="2:3">
      <c r="B27" s="61">
        <f t="shared" si="0"/>
        <v>7</v>
      </c>
      <c r="C27" s="61">
        <f>First_Year+Table39[[#This Row],[Year Number]]</f>
        <v>2030</v>
      </c>
    </row>
    <row r="28" spans="2:3">
      <c r="B28" s="61">
        <f t="shared" si="0"/>
        <v>8</v>
      </c>
      <c r="C28" s="61">
        <f>First_Year+Table39[[#This Row],[Year Number]]</f>
        <v>2031</v>
      </c>
    </row>
    <row r="29" spans="2:3">
      <c r="B29" s="61">
        <f t="shared" si="0"/>
        <v>9</v>
      </c>
      <c r="C29" s="61">
        <f>First_Year+Table39[[#This Row],[Year Number]]</f>
        <v>2032</v>
      </c>
    </row>
    <row r="30" spans="2:3">
      <c r="B30" s="61">
        <f t="shared" si="0"/>
        <v>10</v>
      </c>
      <c r="C30" s="61">
        <f>First_Year+Table39[[#This Row],[Year Number]]</f>
        <v>2033</v>
      </c>
    </row>
    <row r="31" spans="2:3">
      <c r="B31" s="61">
        <f t="shared" si="0"/>
        <v>11</v>
      </c>
      <c r="C31" s="61">
        <f>First_Year+Table39[[#This Row],[Year Number]]</f>
        <v>2034</v>
      </c>
    </row>
    <row r="32" spans="2:3">
      <c r="B32" s="61">
        <f t="shared" si="0"/>
        <v>12</v>
      </c>
      <c r="C32" s="61">
        <f>First_Year+Table39[[#This Row],[Year Number]]</f>
        <v>2035</v>
      </c>
    </row>
    <row r="33" spans="2:3">
      <c r="B33" s="61">
        <f t="shared" si="0"/>
        <v>13</v>
      </c>
      <c r="C33" s="61">
        <f>First_Year+Table39[[#This Row],[Year Number]]</f>
        <v>2036</v>
      </c>
    </row>
    <row r="34" spans="2:3">
      <c r="B34" s="61">
        <f t="shared" si="0"/>
        <v>14</v>
      </c>
      <c r="C34" s="61">
        <f>First_Year+Table39[[#This Row],[Year Number]]</f>
        <v>2037</v>
      </c>
    </row>
    <row r="35" spans="2:3">
      <c r="B35" s="61">
        <f t="shared" si="0"/>
        <v>15</v>
      </c>
      <c r="C35" s="61">
        <f>First_Year+Table39[[#This Row],[Year Number]]</f>
        <v>2038</v>
      </c>
    </row>
    <row r="36" spans="2:3">
      <c r="B36" s="61">
        <f t="shared" si="0"/>
        <v>16</v>
      </c>
      <c r="C36" s="61">
        <f>First_Year+Table39[[#This Row],[Year Number]]</f>
        <v>2039</v>
      </c>
    </row>
    <row r="37" spans="2:3">
      <c r="B37" s="61">
        <f t="shared" si="0"/>
        <v>17</v>
      </c>
      <c r="C37" s="61">
        <f>First_Year+Table39[[#This Row],[Year Number]]</f>
        <v>2040</v>
      </c>
    </row>
    <row r="38" spans="2:3">
      <c r="B38" s="61">
        <f t="shared" si="0"/>
        <v>18</v>
      </c>
      <c r="C38" s="61">
        <f>First_Year+Table39[[#This Row],[Year Number]]</f>
        <v>2041</v>
      </c>
    </row>
    <row r="39" spans="2:3">
      <c r="B39" s="61">
        <f t="shared" si="0"/>
        <v>19</v>
      </c>
      <c r="C39" s="61">
        <f>First_Year+Table39[[#This Row],[Year Number]]</f>
        <v>2042</v>
      </c>
    </row>
    <row r="40" spans="2:3">
      <c r="B40" s="61">
        <f t="shared" si="0"/>
        <v>20</v>
      </c>
      <c r="C40" s="61">
        <f>First_Year+Table39[[#This Row],[Year Number]]</f>
        <v>2043</v>
      </c>
    </row>
    <row r="41" spans="2:3">
      <c r="B41" s="61">
        <f t="shared" si="0"/>
        <v>21</v>
      </c>
      <c r="C41" s="61">
        <f>First_Year+Table39[[#This Row],[Year Number]]</f>
        <v>2044</v>
      </c>
    </row>
    <row r="42" spans="2:3">
      <c r="B42" s="61">
        <f t="shared" si="0"/>
        <v>22</v>
      </c>
      <c r="C42" s="61">
        <f>First_Year+Table39[[#This Row],[Year Number]]</f>
        <v>2045</v>
      </c>
    </row>
    <row r="43" spans="2:3">
      <c r="B43" s="61">
        <f t="shared" si="0"/>
        <v>23</v>
      </c>
      <c r="C43" s="61">
        <f>First_Year+Table39[[#This Row],[Year Number]]</f>
        <v>2046</v>
      </c>
    </row>
    <row r="44" spans="2:3">
      <c r="B44" s="61">
        <f t="shared" si="0"/>
        <v>24</v>
      </c>
      <c r="C44" s="61">
        <f>First_Year+Table39[[#This Row],[Year Number]]</f>
        <v>2047</v>
      </c>
    </row>
    <row r="45" spans="2:3">
      <c r="B45" s="61">
        <f t="shared" si="0"/>
        <v>25</v>
      </c>
      <c r="C45" s="61">
        <f>First_Year+Table39[[#This Row],[Year Number]]</f>
        <v>2048</v>
      </c>
    </row>
    <row r="46" spans="2:3">
      <c r="B46" s="61">
        <f t="shared" si="0"/>
        <v>26</v>
      </c>
      <c r="C46" s="61">
        <f>First_Year+Table39[[#This Row],[Year Number]]</f>
        <v>2049</v>
      </c>
    </row>
    <row r="47" spans="2:3">
      <c r="B47" s="61">
        <f t="shared" si="0"/>
        <v>27</v>
      </c>
      <c r="C47" s="61">
        <f>First_Year+Table39[[#This Row],[Year Number]]</f>
        <v>2050</v>
      </c>
    </row>
    <row r="48" spans="2:3">
      <c r="B48" s="61">
        <f t="shared" si="0"/>
        <v>28</v>
      </c>
      <c r="C48" s="61">
        <f>First_Year+Table39[[#This Row],[Year Number]]</f>
        <v>2051</v>
      </c>
    </row>
    <row r="49" spans="2:3">
      <c r="B49" s="61">
        <f t="shared" si="0"/>
        <v>29</v>
      </c>
      <c r="C49" s="61">
        <f>First_Year+Table39[[#This Row],[Year Number]]</f>
        <v>2052</v>
      </c>
    </row>
    <row r="50" spans="2:3">
      <c r="B50" s="61">
        <f t="shared" si="0"/>
        <v>30</v>
      </c>
      <c r="C50" s="61">
        <f>First_Year+Table39[[#This Row],[Year Number]]</f>
        <v>2053</v>
      </c>
    </row>
    <row r="51" spans="2:3">
      <c r="B51" s="61">
        <f t="shared" si="0"/>
        <v>31</v>
      </c>
      <c r="C51" s="61">
        <f>First_Year+Table39[[#This Row],[Year Number]]</f>
        <v>2054</v>
      </c>
    </row>
    <row r="52" spans="2:3">
      <c r="B52" s="61">
        <f t="shared" si="0"/>
        <v>32</v>
      </c>
      <c r="C52" s="61">
        <f>First_Year+Table39[[#This Row],[Year Number]]</f>
        <v>2055</v>
      </c>
    </row>
    <row r="53" spans="2:3">
      <c r="B53" s="61">
        <f t="shared" si="0"/>
        <v>33</v>
      </c>
      <c r="C53" s="61">
        <f>First_Year+Table39[[#This Row],[Year Number]]</f>
        <v>2056</v>
      </c>
    </row>
    <row r="54" spans="2:3">
      <c r="B54" s="61">
        <f t="shared" si="0"/>
        <v>34</v>
      </c>
      <c r="C54" s="61">
        <f>First_Year+Table39[[#This Row],[Year Number]]</f>
        <v>2057</v>
      </c>
    </row>
    <row r="55" spans="2:3">
      <c r="B55" s="61">
        <f t="shared" si="0"/>
        <v>35</v>
      </c>
      <c r="C55" s="61">
        <f>First_Year+Table39[[#This Row],[Year Number]]</f>
        <v>2058</v>
      </c>
    </row>
  </sheetData>
  <mergeCells count="2">
    <mergeCell ref="A1:I1"/>
    <mergeCell ref="A7:I7"/>
  </mergeCells>
  <pageMargins left="0.7" right="0.7" top="0.75" bottom="0.75" header="0.3" footer="0.3"/>
  <pageSetup scale="63" fitToHeight="0" orientation="landscape" r:id="rId1"/>
  <drawing r:id="rId2"/>
  <tableParts count="3">
    <tablePart r:id="rId3"/>
    <tablePart r:id="rId4"/>
    <tablePart r:id="rId5"/>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AEAF6-290E-465E-8C32-393CEB830F72}">
  <sheetPr>
    <tabColor theme="1"/>
    <pageSetUpPr fitToPage="1"/>
  </sheetPr>
  <dimension ref="A1:I55"/>
  <sheetViews>
    <sheetView showGridLines="0" workbookViewId="0">
      <selection activeCell="F15" sqref="F15"/>
    </sheetView>
  </sheetViews>
  <sheetFormatPr defaultColWidth="9.140625" defaultRowHeight="12.75"/>
  <cols>
    <col min="1" max="1" width="15.7109375" style="61" customWidth="1"/>
    <col min="2" max="2" width="18.140625" style="61" customWidth="1"/>
    <col min="3" max="3" width="37.28515625" style="61" bestFit="1" customWidth="1"/>
    <col min="4" max="4" width="15.7109375" style="61" customWidth="1"/>
    <col min="5" max="5" width="36.5703125" style="61" customWidth="1"/>
    <col min="6" max="9" width="15.7109375" style="61" customWidth="1"/>
    <col min="10" max="16384" width="9.140625" style="61"/>
  </cols>
  <sheetData>
    <row r="1" spans="1:9">
      <c r="A1" s="561" t="s">
        <v>630</v>
      </c>
      <c r="B1" s="561"/>
      <c r="C1" s="561"/>
      <c r="D1" s="561"/>
      <c r="E1" s="561"/>
      <c r="F1" s="561"/>
      <c r="G1" s="561"/>
      <c r="H1" s="561"/>
      <c r="I1" s="561"/>
    </row>
    <row r="2" spans="1:9">
      <c r="A2" s="62" t="s">
        <v>1</v>
      </c>
      <c r="B2" s="63" t="str">
        <f>Project_Name</f>
        <v>Completing the I-95 Missing Move and Quonset Connector Ramps</v>
      </c>
    </row>
    <row r="3" spans="1:9">
      <c r="A3" s="62" t="s">
        <v>2</v>
      </c>
      <c r="B3" s="63" t="s">
        <v>56</v>
      </c>
    </row>
    <row r="4" spans="1:9">
      <c r="A4" s="62" t="s">
        <v>4</v>
      </c>
      <c r="B4" s="64">
        <f>Date</f>
        <v>45159</v>
      </c>
    </row>
    <row r="5" spans="1:9" ht="30" customHeight="1">
      <c r="A5" s="62"/>
      <c r="B5" s="65"/>
    </row>
    <row r="6" spans="1:9" ht="13.5" thickBot="1">
      <c r="A6" s="62"/>
      <c r="B6" s="65"/>
    </row>
    <row r="7" spans="1:9" ht="84.75" customHeight="1" thickBot="1">
      <c r="A7" s="570" t="s">
        <v>631</v>
      </c>
      <c r="B7" s="571"/>
      <c r="C7" s="571"/>
      <c r="D7" s="571"/>
      <c r="E7" s="571"/>
      <c r="F7" s="571"/>
      <c r="G7" s="571"/>
      <c r="H7" s="571"/>
      <c r="I7" s="572"/>
    </row>
    <row r="9" spans="1:9" ht="15">
      <c r="B9" s="114" t="s">
        <v>632</v>
      </c>
      <c r="E9" s="114" t="s">
        <v>633</v>
      </c>
    </row>
    <row r="11" spans="1:9">
      <c r="B11" s="61" t="s">
        <v>634</v>
      </c>
      <c r="C11" s="61" t="s">
        <v>8</v>
      </c>
      <c r="E11" s="61" t="s">
        <v>634</v>
      </c>
      <c r="F11" s="61" t="s">
        <v>8</v>
      </c>
    </row>
    <row r="12" spans="1:9" ht="25.5">
      <c r="B12" s="61" t="s">
        <v>635</v>
      </c>
      <c r="C12" s="67" t="s">
        <v>636</v>
      </c>
      <c r="E12" s="61" t="s">
        <v>637</v>
      </c>
      <c r="F12" s="61">
        <v>2023</v>
      </c>
    </row>
    <row r="13" spans="1:9">
      <c r="B13" s="61" t="s">
        <v>638</v>
      </c>
      <c r="C13" s="118">
        <v>45159</v>
      </c>
      <c r="E13" s="61" t="s">
        <v>639</v>
      </c>
      <c r="F13" s="61">
        <v>2024</v>
      </c>
    </row>
    <row r="14" spans="1:9">
      <c r="B14" s="61" t="s">
        <v>640</v>
      </c>
      <c r="C14" s="61">
        <v>2023</v>
      </c>
      <c r="E14" s="61" t="s">
        <v>641</v>
      </c>
      <c r="F14" s="61">
        <v>2025</v>
      </c>
    </row>
    <row r="15" spans="1:9">
      <c r="B15" s="61" t="s">
        <v>642</v>
      </c>
      <c r="C15" s="61">
        <v>2058</v>
      </c>
      <c r="E15" s="61" t="s">
        <v>643</v>
      </c>
      <c r="F15" s="61">
        <v>2027</v>
      </c>
    </row>
    <row r="17" spans="2:3" ht="15">
      <c r="B17" s="114" t="s">
        <v>644</v>
      </c>
    </row>
    <row r="18" spans="2:3" ht="15">
      <c r="B18" s="114"/>
    </row>
    <row r="19" spans="2:3">
      <c r="B19" s="61" t="s">
        <v>645</v>
      </c>
      <c r="C19" s="61" t="s">
        <v>21</v>
      </c>
    </row>
    <row r="20" spans="2:3">
      <c r="B20" s="61">
        <v>0</v>
      </c>
      <c r="C20" s="61">
        <f>First_Year+Table39132[[#This Row],[Year Number]]</f>
        <v>2023</v>
      </c>
    </row>
    <row r="21" spans="2:3">
      <c r="B21" s="61">
        <f t="shared" ref="B21:B55" si="0">B20+1</f>
        <v>1</v>
      </c>
      <c r="C21" s="61">
        <f>First_Year+Table39132[[#This Row],[Year Number]]</f>
        <v>2024</v>
      </c>
    </row>
    <row r="22" spans="2:3">
      <c r="B22" s="61">
        <f t="shared" si="0"/>
        <v>2</v>
      </c>
      <c r="C22" s="61">
        <f>First_Year+Table39132[[#This Row],[Year Number]]</f>
        <v>2025</v>
      </c>
    </row>
    <row r="23" spans="2:3">
      <c r="B23" s="61">
        <f t="shared" si="0"/>
        <v>3</v>
      </c>
      <c r="C23" s="61">
        <f>First_Year+Table39132[[#This Row],[Year Number]]</f>
        <v>2026</v>
      </c>
    </row>
    <row r="24" spans="2:3">
      <c r="B24" s="61">
        <f t="shared" si="0"/>
        <v>4</v>
      </c>
      <c r="C24" s="61">
        <f>First_Year+Table39132[[#This Row],[Year Number]]</f>
        <v>2027</v>
      </c>
    </row>
    <row r="25" spans="2:3">
      <c r="B25" s="61">
        <f t="shared" si="0"/>
        <v>5</v>
      </c>
      <c r="C25" s="61">
        <f>First_Year+Table39132[[#This Row],[Year Number]]</f>
        <v>2028</v>
      </c>
    </row>
    <row r="26" spans="2:3">
      <c r="B26" s="61">
        <f t="shared" si="0"/>
        <v>6</v>
      </c>
      <c r="C26" s="61">
        <f>First_Year+Table39132[[#This Row],[Year Number]]</f>
        <v>2029</v>
      </c>
    </row>
    <row r="27" spans="2:3">
      <c r="B27" s="61">
        <f t="shared" si="0"/>
        <v>7</v>
      </c>
      <c r="C27" s="61">
        <f>First_Year+Table39132[[#This Row],[Year Number]]</f>
        <v>2030</v>
      </c>
    </row>
    <row r="28" spans="2:3">
      <c r="B28" s="61">
        <f t="shared" si="0"/>
        <v>8</v>
      </c>
      <c r="C28" s="61">
        <f>First_Year+Table39132[[#This Row],[Year Number]]</f>
        <v>2031</v>
      </c>
    </row>
    <row r="29" spans="2:3">
      <c r="B29" s="61">
        <f t="shared" si="0"/>
        <v>9</v>
      </c>
      <c r="C29" s="61">
        <f>First_Year+Table39132[[#This Row],[Year Number]]</f>
        <v>2032</v>
      </c>
    </row>
    <row r="30" spans="2:3">
      <c r="B30" s="61">
        <f t="shared" si="0"/>
        <v>10</v>
      </c>
      <c r="C30" s="61">
        <f>First_Year+Table39132[[#This Row],[Year Number]]</f>
        <v>2033</v>
      </c>
    </row>
    <row r="31" spans="2:3">
      <c r="B31" s="61">
        <f t="shared" si="0"/>
        <v>11</v>
      </c>
      <c r="C31" s="61">
        <f>First_Year+Table39132[[#This Row],[Year Number]]</f>
        <v>2034</v>
      </c>
    </row>
    <row r="32" spans="2:3">
      <c r="B32" s="61">
        <f t="shared" si="0"/>
        <v>12</v>
      </c>
      <c r="C32" s="61">
        <f>First_Year+Table39132[[#This Row],[Year Number]]</f>
        <v>2035</v>
      </c>
    </row>
    <row r="33" spans="2:3">
      <c r="B33" s="61">
        <f t="shared" si="0"/>
        <v>13</v>
      </c>
      <c r="C33" s="61">
        <f>First_Year+Table39132[[#This Row],[Year Number]]</f>
        <v>2036</v>
      </c>
    </row>
    <row r="34" spans="2:3">
      <c r="B34" s="61">
        <f t="shared" si="0"/>
        <v>14</v>
      </c>
      <c r="C34" s="61">
        <f>First_Year+Table39132[[#This Row],[Year Number]]</f>
        <v>2037</v>
      </c>
    </row>
    <row r="35" spans="2:3">
      <c r="B35" s="61">
        <f t="shared" si="0"/>
        <v>15</v>
      </c>
      <c r="C35" s="61">
        <f>First_Year+Table39132[[#This Row],[Year Number]]</f>
        <v>2038</v>
      </c>
    </row>
    <row r="36" spans="2:3">
      <c r="B36" s="61">
        <f t="shared" si="0"/>
        <v>16</v>
      </c>
      <c r="C36" s="61">
        <f>First_Year+Table39132[[#This Row],[Year Number]]</f>
        <v>2039</v>
      </c>
    </row>
    <row r="37" spans="2:3">
      <c r="B37" s="61">
        <f t="shared" si="0"/>
        <v>17</v>
      </c>
      <c r="C37" s="61">
        <f>First_Year+Table39132[[#This Row],[Year Number]]</f>
        <v>2040</v>
      </c>
    </row>
    <row r="38" spans="2:3">
      <c r="B38" s="61">
        <f t="shared" si="0"/>
        <v>18</v>
      </c>
      <c r="C38" s="61">
        <f>First_Year+Table39132[[#This Row],[Year Number]]</f>
        <v>2041</v>
      </c>
    </row>
    <row r="39" spans="2:3">
      <c r="B39" s="61">
        <f t="shared" si="0"/>
        <v>19</v>
      </c>
      <c r="C39" s="61">
        <f>First_Year+Table39132[[#This Row],[Year Number]]</f>
        <v>2042</v>
      </c>
    </row>
    <row r="40" spans="2:3">
      <c r="B40" s="61">
        <f t="shared" si="0"/>
        <v>20</v>
      </c>
      <c r="C40" s="61">
        <f>First_Year+Table39132[[#This Row],[Year Number]]</f>
        <v>2043</v>
      </c>
    </row>
    <row r="41" spans="2:3">
      <c r="B41" s="61">
        <f t="shared" si="0"/>
        <v>21</v>
      </c>
      <c r="C41" s="61">
        <f>First_Year+Table39132[[#This Row],[Year Number]]</f>
        <v>2044</v>
      </c>
    </row>
    <row r="42" spans="2:3">
      <c r="B42" s="61">
        <f t="shared" si="0"/>
        <v>22</v>
      </c>
      <c r="C42" s="61">
        <f>First_Year+Table39132[[#This Row],[Year Number]]</f>
        <v>2045</v>
      </c>
    </row>
    <row r="43" spans="2:3">
      <c r="B43" s="61">
        <f t="shared" si="0"/>
        <v>23</v>
      </c>
      <c r="C43" s="61">
        <f>First_Year+Table39132[[#This Row],[Year Number]]</f>
        <v>2046</v>
      </c>
    </row>
    <row r="44" spans="2:3">
      <c r="B44" s="61">
        <f t="shared" si="0"/>
        <v>24</v>
      </c>
      <c r="C44" s="61">
        <f>First_Year+Table39132[[#This Row],[Year Number]]</f>
        <v>2047</v>
      </c>
    </row>
    <row r="45" spans="2:3">
      <c r="B45" s="61">
        <f t="shared" si="0"/>
        <v>25</v>
      </c>
      <c r="C45" s="61">
        <f>First_Year+Table39132[[#This Row],[Year Number]]</f>
        <v>2048</v>
      </c>
    </row>
    <row r="46" spans="2:3">
      <c r="B46" s="61">
        <f t="shared" si="0"/>
        <v>26</v>
      </c>
      <c r="C46" s="61">
        <f>First_Year+Table39132[[#This Row],[Year Number]]</f>
        <v>2049</v>
      </c>
    </row>
    <row r="47" spans="2:3">
      <c r="B47" s="61">
        <f t="shared" si="0"/>
        <v>27</v>
      </c>
      <c r="C47" s="61">
        <f>First_Year+Table39132[[#This Row],[Year Number]]</f>
        <v>2050</v>
      </c>
    </row>
    <row r="48" spans="2:3">
      <c r="B48" s="61">
        <f t="shared" si="0"/>
        <v>28</v>
      </c>
      <c r="C48" s="61">
        <f>First_Year+Table39132[[#This Row],[Year Number]]</f>
        <v>2051</v>
      </c>
    </row>
    <row r="49" spans="2:3">
      <c r="B49" s="61">
        <f t="shared" si="0"/>
        <v>29</v>
      </c>
      <c r="C49" s="61">
        <f>First_Year+Table39132[[#This Row],[Year Number]]</f>
        <v>2052</v>
      </c>
    </row>
    <row r="50" spans="2:3">
      <c r="B50" s="61">
        <f t="shared" si="0"/>
        <v>30</v>
      </c>
      <c r="C50" s="61">
        <f>First_Year+Table39132[[#This Row],[Year Number]]</f>
        <v>2053</v>
      </c>
    </row>
    <row r="51" spans="2:3">
      <c r="B51" s="61">
        <f t="shared" si="0"/>
        <v>31</v>
      </c>
      <c r="C51" s="61">
        <f>First_Year+Table39132[[#This Row],[Year Number]]</f>
        <v>2054</v>
      </c>
    </row>
    <row r="52" spans="2:3">
      <c r="B52" s="61">
        <f t="shared" si="0"/>
        <v>32</v>
      </c>
      <c r="C52" s="61">
        <f>First_Year+Table39132[[#This Row],[Year Number]]</f>
        <v>2055</v>
      </c>
    </row>
    <row r="53" spans="2:3">
      <c r="B53" s="61">
        <f t="shared" si="0"/>
        <v>33</v>
      </c>
      <c r="C53" s="61">
        <f>First_Year+Table39132[[#This Row],[Year Number]]</f>
        <v>2056</v>
      </c>
    </row>
    <row r="54" spans="2:3">
      <c r="B54" s="61">
        <f t="shared" si="0"/>
        <v>34</v>
      </c>
      <c r="C54" s="61">
        <f>First_Year+Table39132[[#This Row],[Year Number]]</f>
        <v>2057</v>
      </c>
    </row>
    <row r="55" spans="2:3">
      <c r="B55" s="61">
        <f t="shared" si="0"/>
        <v>35</v>
      </c>
      <c r="C55" s="61">
        <f>First_Year+Table39132[[#This Row],[Year Number]]</f>
        <v>2058</v>
      </c>
    </row>
  </sheetData>
  <mergeCells count="2">
    <mergeCell ref="A1:I1"/>
    <mergeCell ref="A7:I7"/>
  </mergeCells>
  <dataValidations count="1">
    <dataValidation allowBlank="1" showInputMessage="1" showErrorMessage="1" sqref="A1" xr:uid="{9405993A-0DC1-4E0F-B8AC-0D53946843A6}"/>
  </dataValidations>
  <pageMargins left="0.7" right="0.7" top="0.75" bottom="0.75" header="0.3" footer="0.3"/>
  <pageSetup scale="63" fitToHeight="0" orientation="landscape" r:id="rId1"/>
  <drawing r:id="rId2"/>
  <tableParts count="3">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18B07D2C264AE4AB45E609DD8134571" ma:contentTypeVersion="15" ma:contentTypeDescription="Create a new document." ma:contentTypeScope="" ma:versionID="1fbdf48f6566bef05b701559db73d242">
  <xsd:schema xmlns:xsd="http://www.w3.org/2001/XMLSchema" xmlns:xs="http://www.w3.org/2001/XMLSchema" xmlns:p="http://schemas.microsoft.com/office/2006/metadata/properties" xmlns:ns2="3b9daa12-c77f-4308-8114-1445900496ff" xmlns:ns3="cbf67f3f-890e-4851-8d4a-549ce0b89eca" targetNamespace="http://schemas.microsoft.com/office/2006/metadata/properties" ma:root="true" ma:fieldsID="c7430c04827a3d592c839b2fb3bf2737" ns2:_="" ns3:_="">
    <xsd:import namespace="3b9daa12-c77f-4308-8114-1445900496ff"/>
    <xsd:import namespace="cbf67f3f-890e-4851-8d4a-549ce0b89ec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lcf76f155ced4ddcb4097134ff3c332f" minOccurs="0"/>
                <xsd:element ref="ns3:TaxCatchAll"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9daa12-c77f-4308-8114-1445900496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91372f1-af24-4813-95c0-48b2648473cd"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f67f3f-890e-4851-8d4a-549ce0b89ec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290201bd-e8c5-47f6-9c5a-1d0a40900792}" ma:internalName="TaxCatchAll" ma:showField="CatchAllData" ma:web="cbf67f3f-890e-4851-8d4a-549ce0b89e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b9daa12-c77f-4308-8114-1445900496ff">
      <Terms xmlns="http://schemas.microsoft.com/office/infopath/2007/PartnerControls"/>
    </lcf76f155ced4ddcb4097134ff3c332f>
    <TaxCatchAll xmlns="cbf67f3f-890e-4851-8d4a-549ce0b89eca" xsi:nil="true"/>
  </documentManagement>
</p:properties>
</file>

<file path=customXml/itemProps1.xml><?xml version="1.0" encoding="utf-8"?>
<ds:datastoreItem xmlns:ds="http://schemas.openxmlformats.org/officeDocument/2006/customXml" ds:itemID="{834DD1B1-E383-40CC-BA21-5756D82B7C30}">
  <ds:schemaRefs>
    <ds:schemaRef ds:uri="http://schemas.microsoft.com/sharepoint/v3/contenttype/forms"/>
  </ds:schemaRefs>
</ds:datastoreItem>
</file>

<file path=customXml/itemProps2.xml><?xml version="1.0" encoding="utf-8"?>
<ds:datastoreItem xmlns:ds="http://schemas.openxmlformats.org/officeDocument/2006/customXml" ds:itemID="{D3135784-B091-4FC8-B13A-E3F2A477BA5F}"/>
</file>

<file path=customXml/itemProps3.xml><?xml version="1.0" encoding="utf-8"?>
<ds:datastoreItem xmlns:ds="http://schemas.openxmlformats.org/officeDocument/2006/customXml" ds:itemID="{94717E43-9436-4857-AE9F-4D45F433853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45</vt:i4>
      </vt:variant>
      <vt:variant>
        <vt:lpstr>Named Ranges</vt:lpstr>
      </vt:variant>
      <vt:variant>
        <vt:i4>991</vt:i4>
      </vt:variant>
    </vt:vector>
  </HeadingPairs>
  <TitlesOfParts>
    <vt:vector size="1036" baseType="lpstr">
      <vt:lpstr>ALL_ES-1. Executive Summary</vt:lpstr>
      <vt:lpstr>ALL_ES-2. B&amp;C Summary Backup</vt:lpstr>
      <vt:lpstr>MM_ES-1. Executive Summary</vt:lpstr>
      <vt:lpstr>MM_ES-2. B&amp;C Summary Backup</vt:lpstr>
      <vt:lpstr>Q_ES-1. Executive Summary</vt:lpstr>
      <vt:lpstr>Freight Rating</vt:lpstr>
      <vt:lpstr>Q_ES-2. B&amp;C Summary Backup</vt:lpstr>
      <vt:lpstr>MM_1. Safety Benefits</vt:lpstr>
      <vt:lpstr>MM_1B. Safety Backup</vt:lpstr>
      <vt:lpstr>Q_1. Safety Benefits</vt:lpstr>
      <vt:lpstr>Q_1B. Safety Backup</vt:lpstr>
      <vt:lpstr>MM_2. Emissions Benefits</vt:lpstr>
      <vt:lpstr>MM_2B. Emissions Backup</vt:lpstr>
      <vt:lpstr>Q_2. Emissions Benefits</vt:lpstr>
      <vt:lpstr>Q_2B. Emissions Backup</vt:lpstr>
      <vt:lpstr>MM_3. Travel Time Benefits</vt:lpstr>
      <vt:lpstr>MM_3B. TTS Backup 2028</vt:lpstr>
      <vt:lpstr>MM_3C. TTS Backup 2058</vt:lpstr>
      <vt:lpstr>MM_3D. TTS Backup All Years</vt:lpstr>
      <vt:lpstr>Q_3. Travel Time Benefits</vt:lpstr>
      <vt:lpstr>Q_3B. TTS Backup 2028</vt:lpstr>
      <vt:lpstr>Q_3C. TTS Backup 2058</vt:lpstr>
      <vt:lpstr>Job Creation Benefit</vt:lpstr>
      <vt:lpstr>Job Creation Backup</vt:lpstr>
      <vt:lpstr>4. Foregone Cost Savings</vt:lpstr>
      <vt:lpstr>4B. Foregone Cost Backup</vt:lpstr>
      <vt:lpstr>5. Transit Facility Benefits</vt:lpstr>
      <vt:lpstr>5B. Transit Facility Backup</vt:lpstr>
      <vt:lpstr>6. Pedestrian Facility Benefits</vt:lpstr>
      <vt:lpstr>6B. Pedestrian Facility Backup</vt:lpstr>
      <vt:lpstr>7. Cycling Facility Benefits</vt:lpstr>
      <vt:lpstr>8. Mortality Reduction Benefits</vt:lpstr>
      <vt:lpstr>9. Ped &amp; Cyclist Count Backup</vt:lpstr>
      <vt:lpstr>Work Zone Closure Impact</vt:lpstr>
      <vt:lpstr>Q_3D. TTS Backup All Years</vt:lpstr>
      <vt:lpstr>MM_10. Future Eligible Costs</vt:lpstr>
      <vt:lpstr>Q_10. Future Eligible Costs</vt:lpstr>
      <vt:lpstr>MM_11. Work Zone Impact Costs</vt:lpstr>
      <vt:lpstr>Q_11. Work Zone Impact Costs</vt:lpstr>
      <vt:lpstr>MM_12. Lifecycle Mgmt. Costs</vt:lpstr>
      <vt:lpstr>Q_12. Lifecycle Mgmt. Costs</vt:lpstr>
      <vt:lpstr>Appendix A. Parameter Values</vt:lpstr>
      <vt:lpstr>Q_Appendix A. Parameter Values</vt:lpstr>
      <vt:lpstr>Appendix B. Project Information</vt:lpstr>
      <vt:lpstr>Q_Appendix B. Project Info</vt:lpstr>
      <vt:lpstr>'Q_1. Safety Benefits'!All_Purpose_Travel</vt:lpstr>
      <vt:lpstr>'Q_10. Future Eligible Costs'!All_Purpose_Travel</vt:lpstr>
      <vt:lpstr>'Q_11. Work Zone Impact Costs'!All_Purpose_Travel</vt:lpstr>
      <vt:lpstr>'Q_12. Lifecycle Mgmt. Costs'!All_Purpose_Travel</vt:lpstr>
      <vt:lpstr>'Q_1B. Safety Backup'!All_Purpose_Travel</vt:lpstr>
      <vt:lpstr>'Q_2. Emissions Benefits'!All_Purpose_Travel</vt:lpstr>
      <vt:lpstr>'Q_2B. Emissions Backup'!All_Purpose_Travel</vt:lpstr>
      <vt:lpstr>'Q_3. Travel Time Benefits'!All_Purpose_Travel</vt:lpstr>
      <vt:lpstr>'Q_3B. TTS Backup 2028'!All_Purpose_Travel</vt:lpstr>
      <vt:lpstr>'Q_3C. TTS Backup 2058'!All_Purpose_Travel</vt:lpstr>
      <vt:lpstr>'Q_3D. TTS Backup All Years'!All_Purpose_Travel</vt:lpstr>
      <vt:lpstr>'Q_Appendix A. Parameter Values'!All_Purpose_Travel</vt:lpstr>
      <vt:lpstr>'Q_Appendix B. Project Info'!All_Purpose_Travel</vt:lpstr>
      <vt:lpstr>'Q_ES-1. Executive Summary'!All_Purpose_Travel</vt:lpstr>
      <vt:lpstr>'Q_ES-2. B&amp;C Summary Backup'!All_Purpose_Travel</vt:lpstr>
      <vt:lpstr>All_Purpose_Travel</vt:lpstr>
      <vt:lpstr>'5. Transit Facility Benefits'!AvgDelay_27NB</vt:lpstr>
      <vt:lpstr>'6. Pedestrian Facility Benefits'!AvgDelay_27NB</vt:lpstr>
      <vt:lpstr>'7. Cycling Facility Benefits'!AvgDelay_27NB</vt:lpstr>
      <vt:lpstr>'8. Mortality Reduction Benefits'!AvgDelay_27NB</vt:lpstr>
      <vt:lpstr>'ALL_ES-1. Executive Summary'!AvgDelay_27NB</vt:lpstr>
      <vt:lpstr>'ALL_ES-2. B&amp;C Summary Backup'!AvgDelay_27NB</vt:lpstr>
      <vt:lpstr>'MM_12. Lifecycle Mgmt. Costs'!AvgDelay_27NB</vt:lpstr>
      <vt:lpstr>'Q_1. Safety Benefits'!AvgDelay_27NB</vt:lpstr>
      <vt:lpstr>'Q_10. Future Eligible Costs'!AvgDelay_27NB</vt:lpstr>
      <vt:lpstr>'Q_11. Work Zone Impact Costs'!AvgDelay_27NB</vt:lpstr>
      <vt:lpstr>'Q_12. Lifecycle Mgmt. Costs'!AvgDelay_27NB</vt:lpstr>
      <vt:lpstr>'Q_1B. Safety Backup'!AvgDelay_27NB</vt:lpstr>
      <vt:lpstr>'Q_2. Emissions Benefits'!AvgDelay_27NB</vt:lpstr>
      <vt:lpstr>'Q_2B. Emissions Backup'!AvgDelay_27NB</vt:lpstr>
      <vt:lpstr>'Q_3. Travel Time Benefits'!AvgDelay_27NB</vt:lpstr>
      <vt:lpstr>'Q_3B. TTS Backup 2028'!AvgDelay_27NB</vt:lpstr>
      <vt:lpstr>'Q_3C. TTS Backup 2058'!AvgDelay_27NB</vt:lpstr>
      <vt:lpstr>'Q_3D. TTS Backup All Years'!AvgDelay_27NB</vt:lpstr>
      <vt:lpstr>'Q_Appendix A. Parameter Values'!AvgDelay_27NB</vt:lpstr>
      <vt:lpstr>'Q_Appendix B. Project Info'!AvgDelay_27NB</vt:lpstr>
      <vt:lpstr>'Q_ES-1. Executive Summary'!AvgDelay_27NB</vt:lpstr>
      <vt:lpstr>'Q_ES-2. B&amp;C Summary Backup'!AvgDelay_27NB</vt:lpstr>
      <vt:lpstr>AvgDelay_27NB</vt:lpstr>
      <vt:lpstr>'5. Transit Facility Benefits'!AvgDelay_27PA</vt:lpstr>
      <vt:lpstr>'6. Pedestrian Facility Benefits'!AvgDelay_27PA</vt:lpstr>
      <vt:lpstr>'7. Cycling Facility Benefits'!AvgDelay_27PA</vt:lpstr>
      <vt:lpstr>'8. Mortality Reduction Benefits'!AvgDelay_27PA</vt:lpstr>
      <vt:lpstr>'ALL_ES-1. Executive Summary'!AvgDelay_27PA</vt:lpstr>
      <vt:lpstr>'ALL_ES-2. B&amp;C Summary Backup'!AvgDelay_27PA</vt:lpstr>
      <vt:lpstr>'MM_12. Lifecycle Mgmt. Costs'!AvgDelay_27PA</vt:lpstr>
      <vt:lpstr>'Q_1. Safety Benefits'!AvgDelay_27PA</vt:lpstr>
      <vt:lpstr>'Q_10. Future Eligible Costs'!AvgDelay_27PA</vt:lpstr>
      <vt:lpstr>'Q_11. Work Zone Impact Costs'!AvgDelay_27PA</vt:lpstr>
      <vt:lpstr>'Q_12. Lifecycle Mgmt. Costs'!AvgDelay_27PA</vt:lpstr>
      <vt:lpstr>'Q_1B. Safety Backup'!AvgDelay_27PA</vt:lpstr>
      <vt:lpstr>'Q_2. Emissions Benefits'!AvgDelay_27PA</vt:lpstr>
      <vt:lpstr>'Q_2B. Emissions Backup'!AvgDelay_27PA</vt:lpstr>
      <vt:lpstr>'Q_3. Travel Time Benefits'!AvgDelay_27PA</vt:lpstr>
      <vt:lpstr>'Q_3B. TTS Backup 2028'!AvgDelay_27PA</vt:lpstr>
      <vt:lpstr>'Q_3C. TTS Backup 2058'!AvgDelay_27PA</vt:lpstr>
      <vt:lpstr>'Q_3D. TTS Backup All Years'!AvgDelay_27PA</vt:lpstr>
      <vt:lpstr>'Q_Appendix A. Parameter Values'!AvgDelay_27PA</vt:lpstr>
      <vt:lpstr>'Q_Appendix B. Project Info'!AvgDelay_27PA</vt:lpstr>
      <vt:lpstr>'Q_ES-1. Executive Summary'!AvgDelay_27PA</vt:lpstr>
      <vt:lpstr>'Q_ES-2. B&amp;C Summary Backup'!AvgDelay_27PA</vt:lpstr>
      <vt:lpstr>AvgDelay_27PA</vt:lpstr>
      <vt:lpstr>'5. Transit Facility Benefits'!AvgDelay_27PAB</vt:lpstr>
      <vt:lpstr>'6. Pedestrian Facility Benefits'!AvgDelay_27PAB</vt:lpstr>
      <vt:lpstr>'ALL_ES-1. Executive Summary'!AvgDelay_27PAB</vt:lpstr>
      <vt:lpstr>'ALL_ES-2. B&amp;C Summary Backup'!AvgDelay_27PAB</vt:lpstr>
      <vt:lpstr>'MM_12. Lifecycle Mgmt. Costs'!AvgDelay_27PAB</vt:lpstr>
      <vt:lpstr>'Q_1. Safety Benefits'!AvgDelay_27PAB</vt:lpstr>
      <vt:lpstr>'Q_10. Future Eligible Costs'!AvgDelay_27PAB</vt:lpstr>
      <vt:lpstr>'Q_11. Work Zone Impact Costs'!AvgDelay_27PAB</vt:lpstr>
      <vt:lpstr>'Q_12. Lifecycle Mgmt. Costs'!AvgDelay_27PAB</vt:lpstr>
      <vt:lpstr>'Q_1B. Safety Backup'!AvgDelay_27PAB</vt:lpstr>
      <vt:lpstr>'Q_2. Emissions Benefits'!AvgDelay_27PAB</vt:lpstr>
      <vt:lpstr>'Q_2B. Emissions Backup'!AvgDelay_27PAB</vt:lpstr>
      <vt:lpstr>'Q_3. Travel Time Benefits'!AvgDelay_27PAB</vt:lpstr>
      <vt:lpstr>'Q_3B. TTS Backup 2028'!AvgDelay_27PAB</vt:lpstr>
      <vt:lpstr>'Q_3C. TTS Backup 2058'!AvgDelay_27PAB</vt:lpstr>
      <vt:lpstr>'Q_3D. TTS Backup All Years'!AvgDelay_27PAB</vt:lpstr>
      <vt:lpstr>'Q_Appendix A. Parameter Values'!AvgDelay_27PAB</vt:lpstr>
      <vt:lpstr>'Q_Appendix B. Project Info'!AvgDelay_27PAB</vt:lpstr>
      <vt:lpstr>'Q_ES-1. Executive Summary'!AvgDelay_27PAB</vt:lpstr>
      <vt:lpstr>'Q_ES-2. B&amp;C Summary Backup'!AvgDelay_27PAB</vt:lpstr>
      <vt:lpstr>AvgDelay_27PAB</vt:lpstr>
      <vt:lpstr>'5. Transit Facility Benefits'!AvgDelay_57NB</vt:lpstr>
      <vt:lpstr>'6. Pedestrian Facility Benefits'!AvgDelay_57NB</vt:lpstr>
      <vt:lpstr>'7. Cycling Facility Benefits'!AvgDelay_57NB</vt:lpstr>
      <vt:lpstr>'8. Mortality Reduction Benefits'!AvgDelay_57NB</vt:lpstr>
      <vt:lpstr>'ALL_ES-1. Executive Summary'!AvgDelay_57NB</vt:lpstr>
      <vt:lpstr>'ALL_ES-2. B&amp;C Summary Backup'!AvgDelay_57NB</vt:lpstr>
      <vt:lpstr>'MM_12. Lifecycle Mgmt. Costs'!AvgDelay_57NB</vt:lpstr>
      <vt:lpstr>'Q_1. Safety Benefits'!AvgDelay_57NB</vt:lpstr>
      <vt:lpstr>'Q_10. Future Eligible Costs'!AvgDelay_57NB</vt:lpstr>
      <vt:lpstr>'Q_11. Work Zone Impact Costs'!AvgDelay_57NB</vt:lpstr>
      <vt:lpstr>'Q_12. Lifecycle Mgmt. Costs'!AvgDelay_57NB</vt:lpstr>
      <vt:lpstr>'Q_1B. Safety Backup'!AvgDelay_57NB</vt:lpstr>
      <vt:lpstr>'Q_2. Emissions Benefits'!AvgDelay_57NB</vt:lpstr>
      <vt:lpstr>'Q_2B. Emissions Backup'!AvgDelay_57NB</vt:lpstr>
      <vt:lpstr>'Q_3. Travel Time Benefits'!AvgDelay_57NB</vt:lpstr>
      <vt:lpstr>'Q_3B. TTS Backup 2028'!AvgDelay_57NB</vt:lpstr>
      <vt:lpstr>'Q_3C. TTS Backup 2058'!AvgDelay_57NB</vt:lpstr>
      <vt:lpstr>'Q_3D. TTS Backup All Years'!AvgDelay_57NB</vt:lpstr>
      <vt:lpstr>'Q_Appendix A. Parameter Values'!AvgDelay_57NB</vt:lpstr>
      <vt:lpstr>'Q_Appendix B. Project Info'!AvgDelay_57NB</vt:lpstr>
      <vt:lpstr>'Q_ES-1. Executive Summary'!AvgDelay_57NB</vt:lpstr>
      <vt:lpstr>'Q_ES-2. B&amp;C Summary Backup'!AvgDelay_57NB</vt:lpstr>
      <vt:lpstr>AvgDelay_57NB</vt:lpstr>
      <vt:lpstr>'5. Transit Facility Benefits'!AvgDelay_57PA</vt:lpstr>
      <vt:lpstr>'6. Pedestrian Facility Benefits'!AvgDelay_57PA</vt:lpstr>
      <vt:lpstr>'7. Cycling Facility Benefits'!AvgDelay_57PA</vt:lpstr>
      <vt:lpstr>'8. Mortality Reduction Benefits'!AvgDelay_57PA</vt:lpstr>
      <vt:lpstr>'ALL_ES-1. Executive Summary'!AvgDelay_57PA</vt:lpstr>
      <vt:lpstr>'ALL_ES-2. B&amp;C Summary Backup'!AvgDelay_57PA</vt:lpstr>
      <vt:lpstr>'MM_12. Lifecycle Mgmt. Costs'!AvgDelay_57PA</vt:lpstr>
      <vt:lpstr>'Q_1. Safety Benefits'!AvgDelay_57PA</vt:lpstr>
      <vt:lpstr>'Q_10. Future Eligible Costs'!AvgDelay_57PA</vt:lpstr>
      <vt:lpstr>'Q_11. Work Zone Impact Costs'!AvgDelay_57PA</vt:lpstr>
      <vt:lpstr>'Q_12. Lifecycle Mgmt. Costs'!AvgDelay_57PA</vt:lpstr>
      <vt:lpstr>'Q_1B. Safety Backup'!AvgDelay_57PA</vt:lpstr>
      <vt:lpstr>'Q_2. Emissions Benefits'!AvgDelay_57PA</vt:lpstr>
      <vt:lpstr>'Q_2B. Emissions Backup'!AvgDelay_57PA</vt:lpstr>
      <vt:lpstr>'Q_3. Travel Time Benefits'!AvgDelay_57PA</vt:lpstr>
      <vt:lpstr>'Q_3B. TTS Backup 2028'!AvgDelay_57PA</vt:lpstr>
      <vt:lpstr>'Q_3C. TTS Backup 2058'!AvgDelay_57PA</vt:lpstr>
      <vt:lpstr>'Q_3D. TTS Backup All Years'!AvgDelay_57PA</vt:lpstr>
      <vt:lpstr>'Q_Appendix A. Parameter Values'!AvgDelay_57PA</vt:lpstr>
      <vt:lpstr>'Q_Appendix B. Project Info'!AvgDelay_57PA</vt:lpstr>
      <vt:lpstr>'Q_ES-1. Executive Summary'!AvgDelay_57PA</vt:lpstr>
      <vt:lpstr>'Q_ES-2. B&amp;C Summary Backup'!AvgDelay_57PA</vt:lpstr>
      <vt:lpstr>AvgDelay_57PA</vt:lpstr>
      <vt:lpstr>'Q_1. Safety Benefits'!Closeout</vt:lpstr>
      <vt:lpstr>'Q_10. Future Eligible Costs'!Closeout</vt:lpstr>
      <vt:lpstr>'Q_11. Work Zone Impact Costs'!Closeout</vt:lpstr>
      <vt:lpstr>'Q_12. Lifecycle Mgmt. Costs'!Closeout</vt:lpstr>
      <vt:lpstr>'Q_1B. Safety Backup'!Closeout</vt:lpstr>
      <vt:lpstr>'Q_2. Emissions Benefits'!Closeout</vt:lpstr>
      <vt:lpstr>'Q_2B. Emissions Backup'!Closeout</vt:lpstr>
      <vt:lpstr>'Q_3. Travel Time Benefits'!Closeout</vt:lpstr>
      <vt:lpstr>'Q_3B. TTS Backup 2028'!Closeout</vt:lpstr>
      <vt:lpstr>'Q_3C. TTS Backup 2058'!Closeout</vt:lpstr>
      <vt:lpstr>'Q_3D. TTS Backup All Years'!Closeout</vt:lpstr>
      <vt:lpstr>'Q_Appendix A. Parameter Values'!Closeout</vt:lpstr>
      <vt:lpstr>'Q_Appendix B. Project Info'!Closeout</vt:lpstr>
      <vt:lpstr>'Q_ES-1. Executive Summary'!Closeout</vt:lpstr>
      <vt:lpstr>'Q_ES-2. B&amp;C Summary Backup'!Closeout</vt:lpstr>
      <vt:lpstr>Closeout</vt:lpstr>
      <vt:lpstr>'Q_1. Safety Benefits'!Date</vt:lpstr>
      <vt:lpstr>'Q_10. Future Eligible Costs'!Date</vt:lpstr>
      <vt:lpstr>'Q_11. Work Zone Impact Costs'!Date</vt:lpstr>
      <vt:lpstr>'Q_12. Lifecycle Mgmt. Costs'!Date</vt:lpstr>
      <vt:lpstr>'Q_1B. Safety Backup'!Date</vt:lpstr>
      <vt:lpstr>'Q_2. Emissions Benefits'!Date</vt:lpstr>
      <vt:lpstr>'Q_2B. Emissions Backup'!Date</vt:lpstr>
      <vt:lpstr>'Q_3. Travel Time Benefits'!Date</vt:lpstr>
      <vt:lpstr>'Q_3B. TTS Backup 2028'!Date</vt:lpstr>
      <vt:lpstr>'Q_3C. TTS Backup 2058'!Date</vt:lpstr>
      <vt:lpstr>'Q_3D. TTS Backup All Years'!Date</vt:lpstr>
      <vt:lpstr>'Q_Appendix A. Parameter Values'!Date</vt:lpstr>
      <vt:lpstr>'Q_Appendix B. Project Info'!Date</vt:lpstr>
      <vt:lpstr>'Q_ES-1. Executive Summary'!Date</vt:lpstr>
      <vt:lpstr>'Q_ES-2. B&amp;C Summary Backup'!Date</vt:lpstr>
      <vt:lpstr>Date</vt:lpstr>
      <vt:lpstr>'Q_1. Safety Benefits'!DelayChange_NB</vt:lpstr>
      <vt:lpstr>'Q_10. Future Eligible Costs'!DelayChange_NB</vt:lpstr>
      <vt:lpstr>'Q_11. Work Zone Impact Costs'!DelayChange_NB</vt:lpstr>
      <vt:lpstr>'Q_12. Lifecycle Mgmt. Costs'!DelayChange_NB</vt:lpstr>
      <vt:lpstr>'Q_1B. Safety Backup'!DelayChange_NB</vt:lpstr>
      <vt:lpstr>'Q_2. Emissions Benefits'!DelayChange_NB</vt:lpstr>
      <vt:lpstr>'Q_2B. Emissions Backup'!DelayChange_NB</vt:lpstr>
      <vt:lpstr>'Q_3. Travel Time Benefits'!DelayChange_NB</vt:lpstr>
      <vt:lpstr>'Q_3B. TTS Backup 2028'!DelayChange_NB</vt:lpstr>
      <vt:lpstr>'Q_3C. TTS Backup 2058'!DelayChange_NB</vt:lpstr>
      <vt:lpstr>'Q_3D. TTS Backup All Years'!DelayChange_NB</vt:lpstr>
      <vt:lpstr>'Q_Appendix A. Parameter Values'!DelayChange_NB</vt:lpstr>
      <vt:lpstr>'Q_Appendix B. Project Info'!DelayChange_NB</vt:lpstr>
      <vt:lpstr>'Q_ES-1. Executive Summary'!DelayChange_NB</vt:lpstr>
      <vt:lpstr>'Q_ES-2. B&amp;C Summary Backup'!DelayChange_NB</vt:lpstr>
      <vt:lpstr>DelayChange_NB</vt:lpstr>
      <vt:lpstr>'Q_1. Safety Benefits'!DelayChange_PA</vt:lpstr>
      <vt:lpstr>'Q_10. Future Eligible Costs'!DelayChange_PA</vt:lpstr>
      <vt:lpstr>'Q_11. Work Zone Impact Costs'!DelayChange_PA</vt:lpstr>
      <vt:lpstr>'Q_12. Lifecycle Mgmt. Costs'!DelayChange_PA</vt:lpstr>
      <vt:lpstr>'Q_1B. Safety Backup'!DelayChange_PA</vt:lpstr>
      <vt:lpstr>'Q_2. Emissions Benefits'!DelayChange_PA</vt:lpstr>
      <vt:lpstr>'Q_2B. Emissions Backup'!DelayChange_PA</vt:lpstr>
      <vt:lpstr>'Q_3. Travel Time Benefits'!DelayChange_PA</vt:lpstr>
      <vt:lpstr>'Q_3B. TTS Backup 2028'!DelayChange_PA</vt:lpstr>
      <vt:lpstr>'Q_3C. TTS Backup 2058'!DelayChange_PA</vt:lpstr>
      <vt:lpstr>'Q_3D. TTS Backup All Years'!DelayChange_PA</vt:lpstr>
      <vt:lpstr>'Q_Appendix A. Parameter Values'!DelayChange_PA</vt:lpstr>
      <vt:lpstr>'Q_Appendix B. Project Info'!DelayChange_PA</vt:lpstr>
      <vt:lpstr>'Q_ES-1. Executive Summary'!DelayChange_PA</vt:lpstr>
      <vt:lpstr>'Q_ES-2. B&amp;C Summary Backup'!DelayChange_PA</vt:lpstr>
      <vt:lpstr>DelayChange_PA</vt:lpstr>
      <vt:lpstr>'5. Transit Facility Benefits'!DelayTot_27NB</vt:lpstr>
      <vt:lpstr>'6. Pedestrian Facility Benefits'!DelayTot_27NB</vt:lpstr>
      <vt:lpstr>'7. Cycling Facility Benefits'!DelayTot_27NB</vt:lpstr>
      <vt:lpstr>'8. Mortality Reduction Benefits'!DelayTot_27NB</vt:lpstr>
      <vt:lpstr>'ALL_ES-1. Executive Summary'!DelayTot_27NB</vt:lpstr>
      <vt:lpstr>'ALL_ES-2. B&amp;C Summary Backup'!DelayTot_27NB</vt:lpstr>
      <vt:lpstr>'MM_12. Lifecycle Mgmt. Costs'!DelayTot_27NB</vt:lpstr>
      <vt:lpstr>'Q_1. Safety Benefits'!DelayTot_27NB</vt:lpstr>
      <vt:lpstr>'Q_10. Future Eligible Costs'!DelayTot_27NB</vt:lpstr>
      <vt:lpstr>'Q_11. Work Zone Impact Costs'!DelayTot_27NB</vt:lpstr>
      <vt:lpstr>'Q_12. Lifecycle Mgmt. Costs'!DelayTot_27NB</vt:lpstr>
      <vt:lpstr>'Q_1B. Safety Backup'!DelayTot_27NB</vt:lpstr>
      <vt:lpstr>'Q_2. Emissions Benefits'!DelayTot_27NB</vt:lpstr>
      <vt:lpstr>'Q_2B. Emissions Backup'!DelayTot_27NB</vt:lpstr>
      <vt:lpstr>'Q_3. Travel Time Benefits'!DelayTot_27NB</vt:lpstr>
      <vt:lpstr>'Q_3B. TTS Backup 2028'!DelayTot_27NB</vt:lpstr>
      <vt:lpstr>'Q_3C. TTS Backup 2058'!DelayTot_27NB</vt:lpstr>
      <vt:lpstr>'Q_3D. TTS Backup All Years'!DelayTot_27NB</vt:lpstr>
      <vt:lpstr>'Q_Appendix A. Parameter Values'!DelayTot_27NB</vt:lpstr>
      <vt:lpstr>'Q_Appendix B. Project Info'!DelayTot_27NB</vt:lpstr>
      <vt:lpstr>'Q_ES-1. Executive Summary'!DelayTot_27NB</vt:lpstr>
      <vt:lpstr>'Q_ES-2. B&amp;C Summary Backup'!DelayTot_27NB</vt:lpstr>
      <vt:lpstr>DelayTot_27NB</vt:lpstr>
      <vt:lpstr>'5. Transit Facility Benefits'!DelayTot_27PA</vt:lpstr>
      <vt:lpstr>'6. Pedestrian Facility Benefits'!DelayTot_27PA</vt:lpstr>
      <vt:lpstr>'7. Cycling Facility Benefits'!DelayTot_27PA</vt:lpstr>
      <vt:lpstr>'8. Mortality Reduction Benefits'!DelayTot_27PA</vt:lpstr>
      <vt:lpstr>'ALL_ES-1. Executive Summary'!DelayTot_27PA</vt:lpstr>
      <vt:lpstr>'ALL_ES-2. B&amp;C Summary Backup'!DelayTot_27PA</vt:lpstr>
      <vt:lpstr>'MM_12. Lifecycle Mgmt. Costs'!DelayTot_27PA</vt:lpstr>
      <vt:lpstr>'Q_1. Safety Benefits'!DelayTot_27PA</vt:lpstr>
      <vt:lpstr>'Q_10. Future Eligible Costs'!DelayTot_27PA</vt:lpstr>
      <vt:lpstr>'Q_11. Work Zone Impact Costs'!DelayTot_27PA</vt:lpstr>
      <vt:lpstr>'Q_12. Lifecycle Mgmt. Costs'!DelayTot_27PA</vt:lpstr>
      <vt:lpstr>'Q_1B. Safety Backup'!DelayTot_27PA</vt:lpstr>
      <vt:lpstr>'Q_2. Emissions Benefits'!DelayTot_27PA</vt:lpstr>
      <vt:lpstr>'Q_2B. Emissions Backup'!DelayTot_27PA</vt:lpstr>
      <vt:lpstr>'Q_3. Travel Time Benefits'!DelayTot_27PA</vt:lpstr>
      <vt:lpstr>'Q_3B. TTS Backup 2028'!DelayTot_27PA</vt:lpstr>
      <vt:lpstr>'Q_3C. TTS Backup 2058'!DelayTot_27PA</vt:lpstr>
      <vt:lpstr>'Q_3D. TTS Backup All Years'!DelayTot_27PA</vt:lpstr>
      <vt:lpstr>'Q_Appendix A. Parameter Values'!DelayTot_27PA</vt:lpstr>
      <vt:lpstr>'Q_Appendix B. Project Info'!DelayTot_27PA</vt:lpstr>
      <vt:lpstr>'Q_ES-1. Executive Summary'!DelayTot_27PA</vt:lpstr>
      <vt:lpstr>'Q_ES-2. B&amp;C Summary Backup'!DelayTot_27PA</vt:lpstr>
      <vt:lpstr>DelayTot_27PA</vt:lpstr>
      <vt:lpstr>'Q_1. Safety Benefits'!First_Year</vt:lpstr>
      <vt:lpstr>'Q_10. Future Eligible Costs'!First_Year</vt:lpstr>
      <vt:lpstr>'Q_11. Work Zone Impact Costs'!First_Year</vt:lpstr>
      <vt:lpstr>'Q_12. Lifecycle Mgmt. Costs'!First_Year</vt:lpstr>
      <vt:lpstr>'Q_1B. Safety Backup'!First_Year</vt:lpstr>
      <vt:lpstr>'Q_2. Emissions Benefits'!First_Year</vt:lpstr>
      <vt:lpstr>'Q_2B. Emissions Backup'!First_Year</vt:lpstr>
      <vt:lpstr>'Q_3. Travel Time Benefits'!First_Year</vt:lpstr>
      <vt:lpstr>'Q_3B. TTS Backup 2028'!First_Year</vt:lpstr>
      <vt:lpstr>'Q_3C. TTS Backup 2058'!First_Year</vt:lpstr>
      <vt:lpstr>'Q_3D. TTS Backup All Years'!First_Year</vt:lpstr>
      <vt:lpstr>'Q_Appendix A. Parameter Values'!First_Year</vt:lpstr>
      <vt:lpstr>'Q_Appendix B. Project Info'!First_Year</vt:lpstr>
      <vt:lpstr>'Q_ES-1. Executive Summary'!First_Year</vt:lpstr>
      <vt:lpstr>'Q_ES-2. B&amp;C Summary Backup'!First_Year</vt:lpstr>
      <vt:lpstr>First_Year</vt:lpstr>
      <vt:lpstr>'Q_1. Safety Benefits'!Last_Year</vt:lpstr>
      <vt:lpstr>'Q_10. Future Eligible Costs'!Last_Year</vt:lpstr>
      <vt:lpstr>'Q_11. Work Zone Impact Costs'!Last_Year</vt:lpstr>
      <vt:lpstr>'Q_12. Lifecycle Mgmt. Costs'!Last_Year</vt:lpstr>
      <vt:lpstr>'Q_1B. Safety Backup'!Last_Year</vt:lpstr>
      <vt:lpstr>'Q_2. Emissions Benefits'!Last_Year</vt:lpstr>
      <vt:lpstr>'Q_2B. Emissions Backup'!Last_Year</vt:lpstr>
      <vt:lpstr>'Q_3. Travel Time Benefits'!Last_Year</vt:lpstr>
      <vt:lpstr>'Q_3B. TTS Backup 2028'!Last_Year</vt:lpstr>
      <vt:lpstr>'Q_3C. TTS Backup 2058'!Last_Year</vt:lpstr>
      <vt:lpstr>'Q_3D. TTS Backup All Years'!Last_Year</vt:lpstr>
      <vt:lpstr>'Q_Appendix A. Parameter Values'!Last_Year</vt:lpstr>
      <vt:lpstr>'Q_Appendix B. Project Info'!Last_Year</vt:lpstr>
      <vt:lpstr>'Q_ES-1. Executive Summary'!Last_Year</vt:lpstr>
      <vt:lpstr>'Q_ES-2. B&amp;C Summary Backup'!Last_Year</vt:lpstr>
      <vt:lpstr>Last_Year</vt:lpstr>
      <vt:lpstr>'5. Transit Facility Benefits'!MPH_27NB</vt:lpstr>
      <vt:lpstr>'6. Pedestrian Facility Benefits'!MPH_27NB</vt:lpstr>
      <vt:lpstr>'7. Cycling Facility Benefits'!MPH_27NB</vt:lpstr>
      <vt:lpstr>'8. Mortality Reduction Benefits'!MPH_27NB</vt:lpstr>
      <vt:lpstr>'ALL_ES-1. Executive Summary'!MPH_27NB</vt:lpstr>
      <vt:lpstr>'ALL_ES-2. B&amp;C Summary Backup'!MPH_27NB</vt:lpstr>
      <vt:lpstr>'MM_12. Lifecycle Mgmt. Costs'!MPH_27NB</vt:lpstr>
      <vt:lpstr>'Q_1. Safety Benefits'!MPH_27NB</vt:lpstr>
      <vt:lpstr>'Q_10. Future Eligible Costs'!MPH_27NB</vt:lpstr>
      <vt:lpstr>'Q_11. Work Zone Impact Costs'!MPH_27NB</vt:lpstr>
      <vt:lpstr>'Q_12. Lifecycle Mgmt. Costs'!MPH_27NB</vt:lpstr>
      <vt:lpstr>'Q_1B. Safety Backup'!MPH_27NB</vt:lpstr>
      <vt:lpstr>'Q_2. Emissions Benefits'!MPH_27NB</vt:lpstr>
      <vt:lpstr>'Q_2B. Emissions Backup'!MPH_27NB</vt:lpstr>
      <vt:lpstr>'Q_3. Travel Time Benefits'!MPH_27NB</vt:lpstr>
      <vt:lpstr>'Q_3B. TTS Backup 2028'!MPH_27NB</vt:lpstr>
      <vt:lpstr>'Q_3C. TTS Backup 2058'!MPH_27NB</vt:lpstr>
      <vt:lpstr>'Q_3D. TTS Backup All Years'!MPH_27NB</vt:lpstr>
      <vt:lpstr>'Q_Appendix A. Parameter Values'!MPH_27NB</vt:lpstr>
      <vt:lpstr>'Q_Appendix B. Project Info'!MPH_27NB</vt:lpstr>
      <vt:lpstr>'Q_ES-1. Executive Summary'!MPH_27NB</vt:lpstr>
      <vt:lpstr>'Q_ES-2. B&amp;C Summary Backup'!MPH_27NB</vt:lpstr>
      <vt:lpstr>MPH_27NB</vt:lpstr>
      <vt:lpstr>'5. Transit Facility Benefits'!MPH_27PA</vt:lpstr>
      <vt:lpstr>'6. Pedestrian Facility Benefits'!MPH_27PA</vt:lpstr>
      <vt:lpstr>'7. Cycling Facility Benefits'!MPH_27PA</vt:lpstr>
      <vt:lpstr>'8. Mortality Reduction Benefits'!MPH_27PA</vt:lpstr>
      <vt:lpstr>'ALL_ES-1. Executive Summary'!MPH_27PA</vt:lpstr>
      <vt:lpstr>'ALL_ES-2. B&amp;C Summary Backup'!MPH_27PA</vt:lpstr>
      <vt:lpstr>'MM_12. Lifecycle Mgmt. Costs'!MPH_27PA</vt:lpstr>
      <vt:lpstr>'Q_1. Safety Benefits'!MPH_27PA</vt:lpstr>
      <vt:lpstr>'Q_10. Future Eligible Costs'!MPH_27PA</vt:lpstr>
      <vt:lpstr>'Q_11. Work Zone Impact Costs'!MPH_27PA</vt:lpstr>
      <vt:lpstr>'Q_12. Lifecycle Mgmt. Costs'!MPH_27PA</vt:lpstr>
      <vt:lpstr>'Q_1B. Safety Backup'!MPH_27PA</vt:lpstr>
      <vt:lpstr>'Q_2. Emissions Benefits'!MPH_27PA</vt:lpstr>
      <vt:lpstr>'Q_2B. Emissions Backup'!MPH_27PA</vt:lpstr>
      <vt:lpstr>'Q_3. Travel Time Benefits'!MPH_27PA</vt:lpstr>
      <vt:lpstr>'Q_3B. TTS Backup 2028'!MPH_27PA</vt:lpstr>
      <vt:lpstr>'Q_3C. TTS Backup 2058'!MPH_27PA</vt:lpstr>
      <vt:lpstr>'Q_3D. TTS Backup All Years'!MPH_27PA</vt:lpstr>
      <vt:lpstr>'Q_Appendix A. Parameter Values'!MPH_27PA</vt:lpstr>
      <vt:lpstr>'Q_Appendix B. Project Info'!MPH_27PA</vt:lpstr>
      <vt:lpstr>'Q_ES-1. Executive Summary'!MPH_27PA</vt:lpstr>
      <vt:lpstr>'Q_ES-2. B&amp;C Summary Backup'!MPH_27PA</vt:lpstr>
      <vt:lpstr>MPH_27PA</vt:lpstr>
      <vt:lpstr>'5. Transit Facility Benefits'!MPH_57NB</vt:lpstr>
      <vt:lpstr>'6. Pedestrian Facility Benefits'!MPH_57NB</vt:lpstr>
      <vt:lpstr>'7. Cycling Facility Benefits'!MPH_57NB</vt:lpstr>
      <vt:lpstr>'8. Mortality Reduction Benefits'!MPH_57NB</vt:lpstr>
      <vt:lpstr>'ALL_ES-1. Executive Summary'!MPH_57NB</vt:lpstr>
      <vt:lpstr>'ALL_ES-2. B&amp;C Summary Backup'!MPH_57NB</vt:lpstr>
      <vt:lpstr>'MM_12. Lifecycle Mgmt. Costs'!MPH_57NB</vt:lpstr>
      <vt:lpstr>'Q_1. Safety Benefits'!MPH_57NB</vt:lpstr>
      <vt:lpstr>'Q_10. Future Eligible Costs'!MPH_57NB</vt:lpstr>
      <vt:lpstr>'Q_11. Work Zone Impact Costs'!MPH_57NB</vt:lpstr>
      <vt:lpstr>'Q_12. Lifecycle Mgmt. Costs'!MPH_57NB</vt:lpstr>
      <vt:lpstr>'Q_1B. Safety Backup'!MPH_57NB</vt:lpstr>
      <vt:lpstr>'Q_2. Emissions Benefits'!MPH_57NB</vt:lpstr>
      <vt:lpstr>'Q_2B. Emissions Backup'!MPH_57NB</vt:lpstr>
      <vt:lpstr>'Q_3. Travel Time Benefits'!MPH_57NB</vt:lpstr>
      <vt:lpstr>'Q_3B. TTS Backup 2028'!MPH_57NB</vt:lpstr>
      <vt:lpstr>'Q_3C. TTS Backup 2058'!MPH_57NB</vt:lpstr>
      <vt:lpstr>'Q_3D. TTS Backup All Years'!MPH_57NB</vt:lpstr>
      <vt:lpstr>'Q_Appendix A. Parameter Values'!MPH_57NB</vt:lpstr>
      <vt:lpstr>'Q_Appendix B. Project Info'!MPH_57NB</vt:lpstr>
      <vt:lpstr>'Q_ES-1. Executive Summary'!MPH_57NB</vt:lpstr>
      <vt:lpstr>'Q_ES-2. B&amp;C Summary Backup'!MPH_57NB</vt:lpstr>
      <vt:lpstr>MPH_57NB</vt:lpstr>
      <vt:lpstr>'5. Transit Facility Benefits'!MPH_57PA</vt:lpstr>
      <vt:lpstr>'6. Pedestrian Facility Benefits'!MPH_57PA</vt:lpstr>
      <vt:lpstr>'7. Cycling Facility Benefits'!MPH_57PA</vt:lpstr>
      <vt:lpstr>'8. Mortality Reduction Benefits'!MPH_57PA</vt:lpstr>
      <vt:lpstr>'ALL_ES-1. Executive Summary'!MPH_57PA</vt:lpstr>
      <vt:lpstr>'ALL_ES-2. B&amp;C Summary Backup'!MPH_57PA</vt:lpstr>
      <vt:lpstr>'MM_12. Lifecycle Mgmt. Costs'!MPH_57PA</vt:lpstr>
      <vt:lpstr>'Q_1. Safety Benefits'!MPH_57PA</vt:lpstr>
      <vt:lpstr>'Q_10. Future Eligible Costs'!MPH_57PA</vt:lpstr>
      <vt:lpstr>'Q_11. Work Zone Impact Costs'!MPH_57PA</vt:lpstr>
      <vt:lpstr>'Q_12. Lifecycle Mgmt. Costs'!MPH_57PA</vt:lpstr>
      <vt:lpstr>'Q_1B. Safety Backup'!MPH_57PA</vt:lpstr>
      <vt:lpstr>'Q_2. Emissions Benefits'!MPH_57PA</vt:lpstr>
      <vt:lpstr>'Q_2B. Emissions Backup'!MPH_57PA</vt:lpstr>
      <vt:lpstr>'Q_3. Travel Time Benefits'!MPH_57PA</vt:lpstr>
      <vt:lpstr>'Q_3B. TTS Backup 2028'!MPH_57PA</vt:lpstr>
      <vt:lpstr>'Q_3C. TTS Backup 2058'!MPH_57PA</vt:lpstr>
      <vt:lpstr>'Q_3D. TTS Backup All Years'!MPH_57PA</vt:lpstr>
      <vt:lpstr>'Q_Appendix A. Parameter Values'!MPH_57PA</vt:lpstr>
      <vt:lpstr>'Q_Appendix B. Project Info'!MPH_57PA</vt:lpstr>
      <vt:lpstr>'Q_ES-1. Executive Summary'!MPH_57PA</vt:lpstr>
      <vt:lpstr>'Q_ES-2. B&amp;C Summary Backup'!MPH_57PA</vt:lpstr>
      <vt:lpstr>MPH_57PA</vt:lpstr>
      <vt:lpstr>'Q_1. Safety Benefits'!MPHChange_NB</vt:lpstr>
      <vt:lpstr>'Q_10. Future Eligible Costs'!MPHChange_NB</vt:lpstr>
      <vt:lpstr>'Q_11. Work Zone Impact Costs'!MPHChange_NB</vt:lpstr>
      <vt:lpstr>'Q_12. Lifecycle Mgmt. Costs'!MPHChange_NB</vt:lpstr>
      <vt:lpstr>'Q_1B. Safety Backup'!MPHChange_NB</vt:lpstr>
      <vt:lpstr>'Q_2. Emissions Benefits'!MPHChange_NB</vt:lpstr>
      <vt:lpstr>'Q_2B. Emissions Backup'!MPHChange_NB</vt:lpstr>
      <vt:lpstr>'Q_3. Travel Time Benefits'!MPHChange_NB</vt:lpstr>
      <vt:lpstr>'Q_3B. TTS Backup 2028'!MPHChange_NB</vt:lpstr>
      <vt:lpstr>'Q_3C. TTS Backup 2058'!MPHChange_NB</vt:lpstr>
      <vt:lpstr>'Q_3D. TTS Backup All Years'!MPHChange_NB</vt:lpstr>
      <vt:lpstr>'Q_Appendix A. Parameter Values'!MPHChange_NB</vt:lpstr>
      <vt:lpstr>'Q_Appendix B. Project Info'!MPHChange_NB</vt:lpstr>
      <vt:lpstr>'Q_ES-1. Executive Summary'!MPHChange_NB</vt:lpstr>
      <vt:lpstr>'Q_ES-2. B&amp;C Summary Backup'!MPHChange_NB</vt:lpstr>
      <vt:lpstr>MPHChange_NB</vt:lpstr>
      <vt:lpstr>'Q_1. Safety Benefits'!MPHChange_PA</vt:lpstr>
      <vt:lpstr>'Q_10. Future Eligible Costs'!MPHChange_PA</vt:lpstr>
      <vt:lpstr>'Q_11. Work Zone Impact Costs'!MPHChange_PA</vt:lpstr>
      <vt:lpstr>'Q_12. Lifecycle Mgmt. Costs'!MPHChange_PA</vt:lpstr>
      <vt:lpstr>'Q_1B. Safety Backup'!MPHChange_PA</vt:lpstr>
      <vt:lpstr>'Q_2. Emissions Benefits'!MPHChange_PA</vt:lpstr>
      <vt:lpstr>'Q_2B. Emissions Backup'!MPHChange_PA</vt:lpstr>
      <vt:lpstr>'Q_3. Travel Time Benefits'!MPHChange_PA</vt:lpstr>
      <vt:lpstr>'Q_3B. TTS Backup 2028'!MPHChange_PA</vt:lpstr>
      <vt:lpstr>'Q_3C. TTS Backup 2058'!MPHChange_PA</vt:lpstr>
      <vt:lpstr>'Q_3D. TTS Backup All Years'!MPHChange_PA</vt:lpstr>
      <vt:lpstr>'Q_Appendix A. Parameter Values'!MPHChange_PA</vt:lpstr>
      <vt:lpstr>'Q_Appendix B. Project Info'!MPHChange_PA</vt:lpstr>
      <vt:lpstr>'Q_ES-1. Executive Summary'!MPHChange_PA</vt:lpstr>
      <vt:lpstr>'Q_ES-2. B&amp;C Summary Backup'!MPHChange_PA</vt:lpstr>
      <vt:lpstr>MPHChange_PA</vt:lpstr>
      <vt:lpstr>'Q_1. Safety Benefits'!Passenger_Vehicles_Occupancy</vt:lpstr>
      <vt:lpstr>'Q_10. Future Eligible Costs'!Passenger_Vehicles_Occupancy</vt:lpstr>
      <vt:lpstr>'Q_11. Work Zone Impact Costs'!Passenger_Vehicles_Occupancy</vt:lpstr>
      <vt:lpstr>'Q_12. Lifecycle Mgmt. Costs'!Passenger_Vehicles_Occupancy</vt:lpstr>
      <vt:lpstr>'Q_1B. Safety Backup'!Passenger_Vehicles_Occupancy</vt:lpstr>
      <vt:lpstr>'Q_2. Emissions Benefits'!Passenger_Vehicles_Occupancy</vt:lpstr>
      <vt:lpstr>'Q_2B. Emissions Backup'!Passenger_Vehicles_Occupancy</vt:lpstr>
      <vt:lpstr>'Q_3. Travel Time Benefits'!Passenger_Vehicles_Occupancy</vt:lpstr>
      <vt:lpstr>'Q_3B. TTS Backup 2028'!Passenger_Vehicles_Occupancy</vt:lpstr>
      <vt:lpstr>'Q_3C. TTS Backup 2058'!Passenger_Vehicles_Occupancy</vt:lpstr>
      <vt:lpstr>'Q_3D. TTS Backup All Years'!Passenger_Vehicles_Occupancy</vt:lpstr>
      <vt:lpstr>'Q_Appendix A. Parameter Values'!Passenger_Vehicles_Occupancy</vt:lpstr>
      <vt:lpstr>'Q_Appendix B. Project Info'!Passenger_Vehicles_Occupancy</vt:lpstr>
      <vt:lpstr>'Q_ES-1. Executive Summary'!Passenger_Vehicles_Occupancy</vt:lpstr>
      <vt:lpstr>'Q_ES-2. B&amp;C Summary Backup'!Passenger_Vehicles_Occupancy</vt:lpstr>
      <vt:lpstr>Passenger_Vehicles_Occupancy</vt:lpstr>
      <vt:lpstr>'ALL_ES-2. B&amp;C Summary Backup'!Print_Area</vt:lpstr>
      <vt:lpstr>'MM_ES-2. B&amp;C Summary Backup'!Print_Area</vt:lpstr>
      <vt:lpstr>'Q_ES-2. B&amp;C Summary Backup'!Print_Area</vt:lpstr>
      <vt:lpstr>'4. Foregone Cost Savings'!Print_Titles</vt:lpstr>
      <vt:lpstr>'4B. Foregone Cost Backup'!Print_Titles</vt:lpstr>
      <vt:lpstr>'5. Transit Facility Benefits'!Print_Titles</vt:lpstr>
      <vt:lpstr>'6. Pedestrian Facility Benefits'!Print_Titles</vt:lpstr>
      <vt:lpstr>'7. Cycling Facility Benefits'!Print_Titles</vt:lpstr>
      <vt:lpstr>'ALL_ES-2. B&amp;C Summary Backup'!Print_Titles</vt:lpstr>
      <vt:lpstr>'Appendix A. Parameter Values'!Print_Titles</vt:lpstr>
      <vt:lpstr>'MM_1. Safety Benefits'!Print_Titles</vt:lpstr>
      <vt:lpstr>'MM_12. Lifecycle Mgmt. Costs'!Print_Titles</vt:lpstr>
      <vt:lpstr>'MM_1B. Safety Backup'!Print_Titles</vt:lpstr>
      <vt:lpstr>'MM_2. Emissions Benefits'!Print_Titles</vt:lpstr>
      <vt:lpstr>'MM_2B. Emissions Backup'!Print_Titles</vt:lpstr>
      <vt:lpstr>'MM_3B. TTS Backup 2028'!Print_Titles</vt:lpstr>
      <vt:lpstr>'MM_3C. TTS Backup 2058'!Print_Titles</vt:lpstr>
      <vt:lpstr>'MM_3D. TTS Backup All Years'!Print_Titles</vt:lpstr>
      <vt:lpstr>'MM_ES-2. B&amp;C Summary Backup'!Print_Titles</vt:lpstr>
      <vt:lpstr>'Q_1. Safety Benefits'!Print_Titles</vt:lpstr>
      <vt:lpstr>'Q_12. Lifecycle Mgmt. Costs'!Print_Titles</vt:lpstr>
      <vt:lpstr>'Q_1B. Safety Backup'!Print_Titles</vt:lpstr>
      <vt:lpstr>'Q_2. Emissions Benefits'!Print_Titles</vt:lpstr>
      <vt:lpstr>'Q_2B. Emissions Backup'!Print_Titles</vt:lpstr>
      <vt:lpstr>'Q_3B. TTS Backup 2028'!Print_Titles</vt:lpstr>
      <vt:lpstr>'Q_3C. TTS Backup 2058'!Print_Titles</vt:lpstr>
      <vt:lpstr>'Q_3D. TTS Backup All Years'!Print_Titles</vt:lpstr>
      <vt:lpstr>'Q_Appendix A. Parameter Values'!Print_Titles</vt:lpstr>
      <vt:lpstr>'Q_ES-2. B&amp;C Summary Backup'!Print_Titles</vt:lpstr>
      <vt:lpstr>'Q_1. Safety Benefits'!Project_Name</vt:lpstr>
      <vt:lpstr>'Q_10. Future Eligible Costs'!Project_Name</vt:lpstr>
      <vt:lpstr>'Q_11. Work Zone Impact Costs'!Project_Name</vt:lpstr>
      <vt:lpstr>'Q_12. Lifecycle Mgmt. Costs'!Project_Name</vt:lpstr>
      <vt:lpstr>'Q_1B. Safety Backup'!Project_Name</vt:lpstr>
      <vt:lpstr>'Q_2. Emissions Benefits'!Project_Name</vt:lpstr>
      <vt:lpstr>'Q_2B. Emissions Backup'!Project_Name</vt:lpstr>
      <vt:lpstr>'Q_3. Travel Time Benefits'!Project_Name</vt:lpstr>
      <vt:lpstr>'Q_3B. TTS Backup 2028'!Project_Name</vt:lpstr>
      <vt:lpstr>'Q_3C. TTS Backup 2058'!Project_Name</vt:lpstr>
      <vt:lpstr>'Q_3D. TTS Backup All Years'!Project_Name</vt:lpstr>
      <vt:lpstr>'Q_Appendix A. Parameter Values'!Project_Name</vt:lpstr>
      <vt:lpstr>'Q_Appendix B. Project Info'!Project_Name</vt:lpstr>
      <vt:lpstr>'Q_ES-1. Executive Summary'!Project_Name</vt:lpstr>
      <vt:lpstr>'Q_ES-2. B&amp;C Summary Backup'!Project_Name</vt:lpstr>
      <vt:lpstr>Project_Name</vt:lpstr>
      <vt:lpstr>'ALL_ES-1. Executive Summary'!Q_AvgDelay_27NB</vt:lpstr>
      <vt:lpstr>'ALL_ES-2. B&amp;C Summary Backup'!Q_AvgDelay_27NB</vt:lpstr>
      <vt:lpstr>Q_AvgDelay_27NB</vt:lpstr>
      <vt:lpstr>'ALL_ES-1. Executive Summary'!Q_AvgDelay_27PAB</vt:lpstr>
      <vt:lpstr>'ALL_ES-2. B&amp;C Summary Backup'!Q_AvgDelay_27PAB</vt:lpstr>
      <vt:lpstr>Q_AvgDelay_27PAB</vt:lpstr>
      <vt:lpstr>'ALL_ES-1. Executive Summary'!Q_AvgDelay_57NB</vt:lpstr>
      <vt:lpstr>'ALL_ES-2. B&amp;C Summary Backup'!Q_AvgDelay_57NB</vt:lpstr>
      <vt:lpstr>Q_AvgDelay_57NB</vt:lpstr>
      <vt:lpstr>'ALL_ES-1. Executive Summary'!Q_AvgDelay_57PA</vt:lpstr>
      <vt:lpstr>'ALL_ES-2. B&amp;C Summary Backup'!Q_AvgDelay_57PA</vt:lpstr>
      <vt:lpstr>Q_AvgDelay_57PA</vt:lpstr>
      <vt:lpstr>'ALL_ES-1. Executive Summary'!Q_DelayTot_27B</vt:lpstr>
      <vt:lpstr>'ALL_ES-2. B&amp;C Summary Backup'!Q_DelayTot_27B</vt:lpstr>
      <vt:lpstr>Q_DelayTot_27B</vt:lpstr>
      <vt:lpstr>'ALL_ES-1. Executive Summary'!Q_DelayTot_27PA</vt:lpstr>
      <vt:lpstr>'ALL_ES-2. B&amp;C Summary Backup'!Q_DelayTot_27PA</vt:lpstr>
      <vt:lpstr>Q_DelayTot_27PA</vt:lpstr>
      <vt:lpstr>'ALL_ES-1. Executive Summary'!Q_MPH_27NB</vt:lpstr>
      <vt:lpstr>'ALL_ES-2. B&amp;C Summary Backup'!Q_MPH_27NB</vt:lpstr>
      <vt:lpstr>Q_MPH_27NB</vt:lpstr>
      <vt:lpstr>'ALL_ES-1. Executive Summary'!Q_MPH_27PA</vt:lpstr>
      <vt:lpstr>'ALL_ES-2. B&amp;C Summary Backup'!Q_MPH_27PA</vt:lpstr>
      <vt:lpstr>Q_MPH_27PA</vt:lpstr>
      <vt:lpstr>'ALL_ES-1. Executive Summary'!Q_MPH_57NB</vt:lpstr>
      <vt:lpstr>'ALL_ES-2. B&amp;C Summary Backup'!Q_MPH_57NB</vt:lpstr>
      <vt:lpstr>Q_MPH_57NB</vt:lpstr>
      <vt:lpstr>'ALL_ES-1. Executive Summary'!Q_MPH_57PA</vt:lpstr>
      <vt:lpstr>'ALL_ES-2. B&amp;C Summary Backup'!Q_MPH_57PA</vt:lpstr>
      <vt:lpstr>Q_MPH_57PA</vt:lpstr>
      <vt:lpstr>'ALL_ES-1. Executive Summary'!Q_Traffic_27NB</vt:lpstr>
      <vt:lpstr>'ALL_ES-2. B&amp;C Summary Backup'!Q_Traffic_27NB</vt:lpstr>
      <vt:lpstr>Q_Traffic_27NB</vt:lpstr>
      <vt:lpstr>'ALL_ES-1. Executive Summary'!Q_Traffic_27PA</vt:lpstr>
      <vt:lpstr>'ALL_ES-2. B&amp;C Summary Backup'!Q_Traffic_27PA</vt:lpstr>
      <vt:lpstr>Q_Traffic_27PA</vt:lpstr>
      <vt:lpstr>'ALL_ES-1. Executive Summary'!Q_Traffic_57NB</vt:lpstr>
      <vt:lpstr>'ALL_ES-2. B&amp;C Summary Backup'!Q_Traffic_57NB</vt:lpstr>
      <vt:lpstr>Q_Traffic_57NB</vt:lpstr>
      <vt:lpstr>'ALL_ES-1. Executive Summary'!Q_Traffic_57PA</vt:lpstr>
      <vt:lpstr>'ALL_ES-2. B&amp;C Summary Backup'!Q_Traffic_57PA</vt:lpstr>
      <vt:lpstr>Q_Traffic_57PA</vt:lpstr>
      <vt:lpstr>'ALL_ES-1. Executive Summary'!Q_TTSB_27</vt:lpstr>
      <vt:lpstr>'ALL_ES-2. B&amp;C Summary Backup'!Q_TTSB_27</vt:lpstr>
      <vt:lpstr>Q_TTSB_27</vt:lpstr>
      <vt:lpstr>'ALL_ES-1. Executive Summary'!Q_TTSB_57</vt:lpstr>
      <vt:lpstr>'ALL_ES-2. B&amp;C Summary Backup'!Q_TTSB_57</vt:lpstr>
      <vt:lpstr>Q_TTSB_57</vt:lpstr>
      <vt:lpstr>'ALL_ES-1. Executive Summary'!Q_VHT_27NB</vt:lpstr>
      <vt:lpstr>'ALL_ES-2. B&amp;C Summary Backup'!Q_VHT_27NB</vt:lpstr>
      <vt:lpstr>Q_VHT_27NB</vt:lpstr>
      <vt:lpstr>'ALL_ES-1. Executive Summary'!Q_VHT_27PA</vt:lpstr>
      <vt:lpstr>'ALL_ES-2. B&amp;C Summary Backup'!Q_VHT_27PA</vt:lpstr>
      <vt:lpstr>Q_VHT_27PA</vt:lpstr>
      <vt:lpstr>'ALL_ES-1. Executive Summary'!Q_VHT_57NB</vt:lpstr>
      <vt:lpstr>'ALL_ES-2. B&amp;C Summary Backup'!Q_VHT_57NB</vt:lpstr>
      <vt:lpstr>Q_VHT_57NB</vt:lpstr>
      <vt:lpstr>'ALL_ES-1. Executive Summary'!Q_VHT_57PA</vt:lpstr>
      <vt:lpstr>'ALL_ES-2. B&amp;C Summary Backup'!Q_VHT_57PA</vt:lpstr>
      <vt:lpstr>Q_VHT_57PA</vt:lpstr>
      <vt:lpstr>'ALL_ES-1. Executive Summary'!Q_VMT_27NB</vt:lpstr>
      <vt:lpstr>'ALL_ES-2. B&amp;C Summary Backup'!Q_VMT_27NB</vt:lpstr>
      <vt:lpstr>Q_VMT_27NB</vt:lpstr>
      <vt:lpstr>'ALL_ES-1. Executive Summary'!Q_VMT_27PA</vt:lpstr>
      <vt:lpstr>'ALL_ES-2. B&amp;C Summary Backup'!Q_VMT_27PA</vt:lpstr>
      <vt:lpstr>Q_VMT_27PA</vt:lpstr>
      <vt:lpstr>'ALL_ES-1. Executive Summary'!Q_VMT_57NB</vt:lpstr>
      <vt:lpstr>'ALL_ES-2. B&amp;C Summary Backup'!Q_VMT_57NB</vt:lpstr>
      <vt:lpstr>Q_VMT_57NB</vt:lpstr>
      <vt:lpstr>'ALL_ES-1. Executive Summary'!Q_VMT_57PA</vt:lpstr>
      <vt:lpstr>'ALL_ES-2. B&amp;C Summary Backup'!Q_VMT_57PA</vt:lpstr>
      <vt:lpstr>Q_VMT_57PA</vt:lpstr>
      <vt:lpstr>'ALL_ES-1. Executive Summary'!Q_Years_All</vt:lpstr>
      <vt:lpstr>'ALL_ES-2. B&amp;C Summary Backup'!Q_Years_All</vt:lpstr>
      <vt:lpstr>Q_Years_All</vt:lpstr>
      <vt:lpstr>'ALL_ES-1. Executive Summary'!QAvgDekay_27NB</vt:lpstr>
      <vt:lpstr>'ALL_ES-2. B&amp;C Summary Backup'!QAvgDekay_27NB</vt:lpstr>
      <vt:lpstr>QAvgDekay_27NB</vt:lpstr>
      <vt:lpstr>'Q_1. Safety Benefits'!TrafChange_NB</vt:lpstr>
      <vt:lpstr>'Q_10. Future Eligible Costs'!TrafChange_NB</vt:lpstr>
      <vt:lpstr>'Q_11. Work Zone Impact Costs'!TrafChange_NB</vt:lpstr>
      <vt:lpstr>'Q_12. Lifecycle Mgmt. Costs'!TrafChange_NB</vt:lpstr>
      <vt:lpstr>'Q_1B. Safety Backup'!TrafChange_NB</vt:lpstr>
      <vt:lpstr>'Q_2. Emissions Benefits'!TrafChange_NB</vt:lpstr>
      <vt:lpstr>'Q_2B. Emissions Backup'!TrafChange_NB</vt:lpstr>
      <vt:lpstr>'Q_3. Travel Time Benefits'!TrafChange_NB</vt:lpstr>
      <vt:lpstr>'Q_3B. TTS Backup 2028'!TrafChange_NB</vt:lpstr>
      <vt:lpstr>'Q_3C. TTS Backup 2058'!TrafChange_NB</vt:lpstr>
      <vt:lpstr>'Q_3D. TTS Backup All Years'!TrafChange_NB</vt:lpstr>
      <vt:lpstr>'Q_Appendix A. Parameter Values'!TrafChange_NB</vt:lpstr>
      <vt:lpstr>'Q_Appendix B. Project Info'!TrafChange_NB</vt:lpstr>
      <vt:lpstr>'Q_ES-1. Executive Summary'!TrafChange_NB</vt:lpstr>
      <vt:lpstr>'Q_ES-2. B&amp;C Summary Backup'!TrafChange_NB</vt:lpstr>
      <vt:lpstr>TrafChange_NB</vt:lpstr>
      <vt:lpstr>'Q_1. Safety Benefits'!TrafChange_PA</vt:lpstr>
      <vt:lpstr>'Q_10. Future Eligible Costs'!TrafChange_PA</vt:lpstr>
      <vt:lpstr>'Q_11. Work Zone Impact Costs'!TrafChange_PA</vt:lpstr>
      <vt:lpstr>'Q_12. Lifecycle Mgmt. Costs'!TrafChange_PA</vt:lpstr>
      <vt:lpstr>'Q_1B. Safety Backup'!TrafChange_PA</vt:lpstr>
      <vt:lpstr>'Q_2. Emissions Benefits'!TrafChange_PA</vt:lpstr>
      <vt:lpstr>'Q_2B. Emissions Backup'!TrafChange_PA</vt:lpstr>
      <vt:lpstr>'Q_3. Travel Time Benefits'!TrafChange_PA</vt:lpstr>
      <vt:lpstr>'Q_3B. TTS Backup 2028'!TrafChange_PA</vt:lpstr>
      <vt:lpstr>'Q_3C. TTS Backup 2058'!TrafChange_PA</vt:lpstr>
      <vt:lpstr>'Q_3D. TTS Backup All Years'!TrafChange_PA</vt:lpstr>
      <vt:lpstr>'Q_Appendix A. Parameter Values'!TrafChange_PA</vt:lpstr>
      <vt:lpstr>'Q_Appendix B. Project Info'!TrafChange_PA</vt:lpstr>
      <vt:lpstr>'Q_ES-1. Executive Summary'!TrafChange_PA</vt:lpstr>
      <vt:lpstr>'Q_ES-2. B&amp;C Summary Backup'!TrafChange_PA</vt:lpstr>
      <vt:lpstr>TrafChange_PA</vt:lpstr>
      <vt:lpstr>'5. Transit Facility Benefits'!Traffic_27NB</vt:lpstr>
      <vt:lpstr>'6. Pedestrian Facility Benefits'!Traffic_27NB</vt:lpstr>
      <vt:lpstr>'7. Cycling Facility Benefits'!Traffic_27NB</vt:lpstr>
      <vt:lpstr>'8. Mortality Reduction Benefits'!Traffic_27NB</vt:lpstr>
      <vt:lpstr>'ALL_ES-1. Executive Summary'!Traffic_27NB</vt:lpstr>
      <vt:lpstr>'ALL_ES-2. B&amp;C Summary Backup'!Traffic_27NB</vt:lpstr>
      <vt:lpstr>'MM_12. Lifecycle Mgmt. Costs'!Traffic_27NB</vt:lpstr>
      <vt:lpstr>'Q_1. Safety Benefits'!Traffic_27NB</vt:lpstr>
      <vt:lpstr>'Q_10. Future Eligible Costs'!Traffic_27NB</vt:lpstr>
      <vt:lpstr>'Q_11. Work Zone Impact Costs'!Traffic_27NB</vt:lpstr>
      <vt:lpstr>'Q_12. Lifecycle Mgmt. Costs'!Traffic_27NB</vt:lpstr>
      <vt:lpstr>'Q_1B. Safety Backup'!Traffic_27NB</vt:lpstr>
      <vt:lpstr>'Q_2. Emissions Benefits'!Traffic_27NB</vt:lpstr>
      <vt:lpstr>'Q_2B. Emissions Backup'!Traffic_27NB</vt:lpstr>
      <vt:lpstr>'Q_3. Travel Time Benefits'!Traffic_27NB</vt:lpstr>
      <vt:lpstr>'Q_3B. TTS Backup 2028'!Traffic_27NB</vt:lpstr>
      <vt:lpstr>'Q_3C. TTS Backup 2058'!Traffic_27NB</vt:lpstr>
      <vt:lpstr>'Q_3D. TTS Backup All Years'!Traffic_27NB</vt:lpstr>
      <vt:lpstr>'Q_Appendix A. Parameter Values'!Traffic_27NB</vt:lpstr>
      <vt:lpstr>'Q_Appendix B. Project Info'!Traffic_27NB</vt:lpstr>
      <vt:lpstr>'Q_ES-1. Executive Summary'!Traffic_27NB</vt:lpstr>
      <vt:lpstr>'Q_ES-2. B&amp;C Summary Backup'!Traffic_27NB</vt:lpstr>
      <vt:lpstr>Traffic_27NB</vt:lpstr>
      <vt:lpstr>'5. Transit Facility Benefits'!Traffic_27PA</vt:lpstr>
      <vt:lpstr>'6. Pedestrian Facility Benefits'!Traffic_27PA</vt:lpstr>
      <vt:lpstr>'7. Cycling Facility Benefits'!Traffic_27PA</vt:lpstr>
      <vt:lpstr>'8. Mortality Reduction Benefits'!Traffic_27PA</vt:lpstr>
      <vt:lpstr>'ALL_ES-1. Executive Summary'!Traffic_27PA</vt:lpstr>
      <vt:lpstr>'ALL_ES-2. B&amp;C Summary Backup'!Traffic_27PA</vt:lpstr>
      <vt:lpstr>'MM_12. Lifecycle Mgmt. Costs'!Traffic_27PA</vt:lpstr>
      <vt:lpstr>'Q_1. Safety Benefits'!Traffic_27PA</vt:lpstr>
      <vt:lpstr>'Q_10. Future Eligible Costs'!Traffic_27PA</vt:lpstr>
      <vt:lpstr>'Q_11. Work Zone Impact Costs'!Traffic_27PA</vt:lpstr>
      <vt:lpstr>'Q_12. Lifecycle Mgmt. Costs'!Traffic_27PA</vt:lpstr>
      <vt:lpstr>'Q_1B. Safety Backup'!Traffic_27PA</vt:lpstr>
      <vt:lpstr>'Q_2. Emissions Benefits'!Traffic_27PA</vt:lpstr>
      <vt:lpstr>'Q_2B. Emissions Backup'!Traffic_27PA</vt:lpstr>
      <vt:lpstr>'Q_3. Travel Time Benefits'!Traffic_27PA</vt:lpstr>
      <vt:lpstr>'Q_3B. TTS Backup 2028'!Traffic_27PA</vt:lpstr>
      <vt:lpstr>'Q_3C. TTS Backup 2058'!Traffic_27PA</vt:lpstr>
      <vt:lpstr>'Q_3D. TTS Backup All Years'!Traffic_27PA</vt:lpstr>
      <vt:lpstr>'Q_Appendix A. Parameter Values'!Traffic_27PA</vt:lpstr>
      <vt:lpstr>'Q_Appendix B. Project Info'!Traffic_27PA</vt:lpstr>
      <vt:lpstr>'Q_ES-1. Executive Summary'!Traffic_27PA</vt:lpstr>
      <vt:lpstr>'Q_ES-2. B&amp;C Summary Backup'!Traffic_27PA</vt:lpstr>
      <vt:lpstr>Traffic_27PA</vt:lpstr>
      <vt:lpstr>'5. Transit Facility Benefits'!Traffic_57NB</vt:lpstr>
      <vt:lpstr>'6. Pedestrian Facility Benefits'!Traffic_57NB</vt:lpstr>
      <vt:lpstr>'7. Cycling Facility Benefits'!Traffic_57NB</vt:lpstr>
      <vt:lpstr>'8. Mortality Reduction Benefits'!Traffic_57NB</vt:lpstr>
      <vt:lpstr>'ALL_ES-1. Executive Summary'!Traffic_57NB</vt:lpstr>
      <vt:lpstr>'ALL_ES-2. B&amp;C Summary Backup'!Traffic_57NB</vt:lpstr>
      <vt:lpstr>'MM_12. Lifecycle Mgmt. Costs'!Traffic_57NB</vt:lpstr>
      <vt:lpstr>'Q_1. Safety Benefits'!Traffic_57NB</vt:lpstr>
      <vt:lpstr>'Q_10. Future Eligible Costs'!Traffic_57NB</vt:lpstr>
      <vt:lpstr>'Q_11. Work Zone Impact Costs'!Traffic_57NB</vt:lpstr>
      <vt:lpstr>'Q_12. Lifecycle Mgmt. Costs'!Traffic_57NB</vt:lpstr>
      <vt:lpstr>'Q_1B. Safety Backup'!Traffic_57NB</vt:lpstr>
      <vt:lpstr>'Q_2. Emissions Benefits'!Traffic_57NB</vt:lpstr>
      <vt:lpstr>'Q_2B. Emissions Backup'!Traffic_57NB</vt:lpstr>
      <vt:lpstr>'Q_3. Travel Time Benefits'!Traffic_57NB</vt:lpstr>
      <vt:lpstr>'Q_3B. TTS Backup 2028'!Traffic_57NB</vt:lpstr>
      <vt:lpstr>'Q_3C. TTS Backup 2058'!Traffic_57NB</vt:lpstr>
      <vt:lpstr>'Q_3D. TTS Backup All Years'!Traffic_57NB</vt:lpstr>
      <vt:lpstr>'Q_Appendix A. Parameter Values'!Traffic_57NB</vt:lpstr>
      <vt:lpstr>'Q_Appendix B. Project Info'!Traffic_57NB</vt:lpstr>
      <vt:lpstr>'Q_ES-1. Executive Summary'!Traffic_57NB</vt:lpstr>
      <vt:lpstr>'Q_ES-2. B&amp;C Summary Backup'!Traffic_57NB</vt:lpstr>
      <vt:lpstr>Traffic_57NB</vt:lpstr>
      <vt:lpstr>'5. Transit Facility Benefits'!Traffic_57PA</vt:lpstr>
      <vt:lpstr>'6. Pedestrian Facility Benefits'!Traffic_57PA</vt:lpstr>
      <vt:lpstr>'7. Cycling Facility Benefits'!Traffic_57PA</vt:lpstr>
      <vt:lpstr>'8. Mortality Reduction Benefits'!Traffic_57PA</vt:lpstr>
      <vt:lpstr>'ALL_ES-1. Executive Summary'!Traffic_57PA</vt:lpstr>
      <vt:lpstr>'ALL_ES-2. B&amp;C Summary Backup'!Traffic_57PA</vt:lpstr>
      <vt:lpstr>'MM_12. Lifecycle Mgmt. Costs'!Traffic_57PA</vt:lpstr>
      <vt:lpstr>'Q_1. Safety Benefits'!Traffic_57PA</vt:lpstr>
      <vt:lpstr>'Q_10. Future Eligible Costs'!Traffic_57PA</vt:lpstr>
      <vt:lpstr>'Q_11. Work Zone Impact Costs'!Traffic_57PA</vt:lpstr>
      <vt:lpstr>'Q_12. Lifecycle Mgmt. Costs'!Traffic_57PA</vt:lpstr>
      <vt:lpstr>'Q_1B. Safety Backup'!Traffic_57PA</vt:lpstr>
      <vt:lpstr>'Q_2. Emissions Benefits'!Traffic_57PA</vt:lpstr>
      <vt:lpstr>'Q_2B. Emissions Backup'!Traffic_57PA</vt:lpstr>
      <vt:lpstr>'Q_3. Travel Time Benefits'!Traffic_57PA</vt:lpstr>
      <vt:lpstr>'Q_3B. TTS Backup 2028'!Traffic_57PA</vt:lpstr>
      <vt:lpstr>'Q_3C. TTS Backup 2058'!Traffic_57PA</vt:lpstr>
      <vt:lpstr>'Q_3D. TTS Backup All Years'!Traffic_57PA</vt:lpstr>
      <vt:lpstr>'Q_Appendix A. Parameter Values'!Traffic_57PA</vt:lpstr>
      <vt:lpstr>'Q_Appendix B. Project Info'!Traffic_57PA</vt:lpstr>
      <vt:lpstr>'Q_ES-1. Executive Summary'!Traffic_57PA</vt:lpstr>
      <vt:lpstr>'Q_ES-2. B&amp;C Summary Backup'!Traffic_57PA</vt:lpstr>
      <vt:lpstr>Traffic_57PA</vt:lpstr>
      <vt:lpstr>'Q_1. Safety Benefits'!Truck_Travel</vt:lpstr>
      <vt:lpstr>'Q_10. Future Eligible Costs'!Truck_Travel</vt:lpstr>
      <vt:lpstr>'Q_11. Work Zone Impact Costs'!Truck_Travel</vt:lpstr>
      <vt:lpstr>'Q_12. Lifecycle Mgmt. Costs'!Truck_Travel</vt:lpstr>
      <vt:lpstr>'Q_1B. Safety Backup'!Truck_Travel</vt:lpstr>
      <vt:lpstr>'Q_2. Emissions Benefits'!Truck_Travel</vt:lpstr>
      <vt:lpstr>'Q_2B. Emissions Backup'!Truck_Travel</vt:lpstr>
      <vt:lpstr>'Q_3. Travel Time Benefits'!Truck_Travel</vt:lpstr>
      <vt:lpstr>'Q_3B. TTS Backup 2028'!Truck_Travel</vt:lpstr>
      <vt:lpstr>'Q_3C. TTS Backup 2058'!Truck_Travel</vt:lpstr>
      <vt:lpstr>'Q_3D. TTS Backup All Years'!Truck_Travel</vt:lpstr>
      <vt:lpstr>'Q_Appendix A. Parameter Values'!Truck_Travel</vt:lpstr>
      <vt:lpstr>'Q_Appendix B. Project Info'!Truck_Travel</vt:lpstr>
      <vt:lpstr>'Q_ES-1. Executive Summary'!Truck_Travel</vt:lpstr>
      <vt:lpstr>'Q_ES-2. B&amp;C Summary Backup'!Truck_Travel</vt:lpstr>
      <vt:lpstr>Truck_Travel</vt:lpstr>
      <vt:lpstr>'5. Transit Facility Benefits'!TTSB_27</vt:lpstr>
      <vt:lpstr>'6. Pedestrian Facility Benefits'!TTSB_27</vt:lpstr>
      <vt:lpstr>'7. Cycling Facility Benefits'!TTSB_27</vt:lpstr>
      <vt:lpstr>'8. Mortality Reduction Benefits'!TTSB_27</vt:lpstr>
      <vt:lpstr>'ALL_ES-1. Executive Summary'!TTSB_27</vt:lpstr>
      <vt:lpstr>'ALL_ES-2. B&amp;C Summary Backup'!TTSB_27</vt:lpstr>
      <vt:lpstr>'MM_12. Lifecycle Mgmt. Costs'!TTSB_27</vt:lpstr>
      <vt:lpstr>'Q_1. Safety Benefits'!TTSB_27</vt:lpstr>
      <vt:lpstr>'Q_10. Future Eligible Costs'!TTSB_27</vt:lpstr>
      <vt:lpstr>'Q_11. Work Zone Impact Costs'!TTSB_27</vt:lpstr>
      <vt:lpstr>'Q_12. Lifecycle Mgmt. Costs'!TTSB_27</vt:lpstr>
      <vt:lpstr>'Q_1B. Safety Backup'!TTSB_27</vt:lpstr>
      <vt:lpstr>'Q_2. Emissions Benefits'!TTSB_27</vt:lpstr>
      <vt:lpstr>'Q_2B. Emissions Backup'!TTSB_27</vt:lpstr>
      <vt:lpstr>'Q_3. Travel Time Benefits'!TTSB_27</vt:lpstr>
      <vt:lpstr>'Q_3B. TTS Backup 2028'!TTSB_27</vt:lpstr>
      <vt:lpstr>'Q_3C. TTS Backup 2058'!TTSB_27</vt:lpstr>
      <vt:lpstr>'Q_3D. TTS Backup All Years'!TTSB_27</vt:lpstr>
      <vt:lpstr>'Q_Appendix A. Parameter Values'!TTSB_27</vt:lpstr>
      <vt:lpstr>'Q_Appendix B. Project Info'!TTSB_27</vt:lpstr>
      <vt:lpstr>'Q_ES-1. Executive Summary'!TTSB_27</vt:lpstr>
      <vt:lpstr>'Q_ES-2. B&amp;C Summary Backup'!TTSB_27</vt:lpstr>
      <vt:lpstr>TTSB_27</vt:lpstr>
      <vt:lpstr>'5. Transit Facility Benefits'!TTSB_57</vt:lpstr>
      <vt:lpstr>'6. Pedestrian Facility Benefits'!TTSB_57</vt:lpstr>
      <vt:lpstr>'7. Cycling Facility Benefits'!TTSB_57</vt:lpstr>
      <vt:lpstr>'8. Mortality Reduction Benefits'!TTSB_57</vt:lpstr>
      <vt:lpstr>'ALL_ES-1. Executive Summary'!TTSB_57</vt:lpstr>
      <vt:lpstr>'ALL_ES-2. B&amp;C Summary Backup'!TTSB_57</vt:lpstr>
      <vt:lpstr>'MM_12. Lifecycle Mgmt. Costs'!TTSB_57</vt:lpstr>
      <vt:lpstr>'Q_1. Safety Benefits'!TTSB_57</vt:lpstr>
      <vt:lpstr>'Q_10. Future Eligible Costs'!TTSB_57</vt:lpstr>
      <vt:lpstr>'Q_11. Work Zone Impact Costs'!TTSB_57</vt:lpstr>
      <vt:lpstr>'Q_12. Lifecycle Mgmt. Costs'!TTSB_57</vt:lpstr>
      <vt:lpstr>'Q_1B. Safety Backup'!TTSB_57</vt:lpstr>
      <vt:lpstr>'Q_2. Emissions Benefits'!TTSB_57</vt:lpstr>
      <vt:lpstr>'Q_2B. Emissions Backup'!TTSB_57</vt:lpstr>
      <vt:lpstr>'Q_3. Travel Time Benefits'!TTSB_57</vt:lpstr>
      <vt:lpstr>'Q_3B. TTS Backup 2028'!TTSB_57</vt:lpstr>
      <vt:lpstr>'Q_3C. TTS Backup 2058'!TTSB_57</vt:lpstr>
      <vt:lpstr>'Q_3D. TTS Backup All Years'!TTSB_57</vt:lpstr>
      <vt:lpstr>'Q_Appendix A. Parameter Values'!TTSB_57</vt:lpstr>
      <vt:lpstr>'Q_Appendix B. Project Info'!TTSB_57</vt:lpstr>
      <vt:lpstr>'Q_ES-1. Executive Summary'!TTSB_57</vt:lpstr>
      <vt:lpstr>'Q_ES-2. B&amp;C Summary Backup'!TTSB_57</vt:lpstr>
      <vt:lpstr>TTSB_57</vt:lpstr>
      <vt:lpstr>'5. Transit Facility Benefits'!VHT_27NB</vt:lpstr>
      <vt:lpstr>'6. Pedestrian Facility Benefits'!VHT_27NB</vt:lpstr>
      <vt:lpstr>'7. Cycling Facility Benefits'!VHT_27NB</vt:lpstr>
      <vt:lpstr>'8. Mortality Reduction Benefits'!VHT_27NB</vt:lpstr>
      <vt:lpstr>'ALL_ES-1. Executive Summary'!VHT_27NB</vt:lpstr>
      <vt:lpstr>'ALL_ES-2. B&amp;C Summary Backup'!VHT_27NB</vt:lpstr>
      <vt:lpstr>'MM_12. Lifecycle Mgmt. Costs'!VHT_27NB</vt:lpstr>
      <vt:lpstr>'Q_1. Safety Benefits'!VHT_27NB</vt:lpstr>
      <vt:lpstr>'Q_10. Future Eligible Costs'!VHT_27NB</vt:lpstr>
      <vt:lpstr>'Q_11. Work Zone Impact Costs'!VHT_27NB</vt:lpstr>
      <vt:lpstr>'Q_12. Lifecycle Mgmt. Costs'!VHT_27NB</vt:lpstr>
      <vt:lpstr>'Q_1B. Safety Backup'!VHT_27NB</vt:lpstr>
      <vt:lpstr>'Q_2. Emissions Benefits'!VHT_27NB</vt:lpstr>
      <vt:lpstr>'Q_2B. Emissions Backup'!VHT_27NB</vt:lpstr>
      <vt:lpstr>'Q_3. Travel Time Benefits'!VHT_27NB</vt:lpstr>
      <vt:lpstr>'Q_3B. TTS Backup 2028'!VHT_27NB</vt:lpstr>
      <vt:lpstr>'Q_3C. TTS Backup 2058'!VHT_27NB</vt:lpstr>
      <vt:lpstr>'Q_3D. TTS Backup All Years'!VHT_27NB</vt:lpstr>
      <vt:lpstr>'Q_Appendix A. Parameter Values'!VHT_27NB</vt:lpstr>
      <vt:lpstr>'Q_Appendix B. Project Info'!VHT_27NB</vt:lpstr>
      <vt:lpstr>'Q_ES-1. Executive Summary'!VHT_27NB</vt:lpstr>
      <vt:lpstr>'Q_ES-2. B&amp;C Summary Backup'!VHT_27NB</vt:lpstr>
      <vt:lpstr>VHT_27NB</vt:lpstr>
      <vt:lpstr>'5. Transit Facility Benefits'!VHT_27PA</vt:lpstr>
      <vt:lpstr>'6. Pedestrian Facility Benefits'!VHT_27PA</vt:lpstr>
      <vt:lpstr>'7. Cycling Facility Benefits'!VHT_27PA</vt:lpstr>
      <vt:lpstr>'8. Mortality Reduction Benefits'!VHT_27PA</vt:lpstr>
      <vt:lpstr>'ALL_ES-1. Executive Summary'!VHT_27PA</vt:lpstr>
      <vt:lpstr>'ALL_ES-2. B&amp;C Summary Backup'!VHT_27PA</vt:lpstr>
      <vt:lpstr>'MM_12. Lifecycle Mgmt. Costs'!VHT_27PA</vt:lpstr>
      <vt:lpstr>'Q_1. Safety Benefits'!VHT_27PA</vt:lpstr>
      <vt:lpstr>'Q_10. Future Eligible Costs'!VHT_27PA</vt:lpstr>
      <vt:lpstr>'Q_11. Work Zone Impact Costs'!VHT_27PA</vt:lpstr>
      <vt:lpstr>'Q_12. Lifecycle Mgmt. Costs'!VHT_27PA</vt:lpstr>
      <vt:lpstr>'Q_1B. Safety Backup'!VHT_27PA</vt:lpstr>
      <vt:lpstr>'Q_2. Emissions Benefits'!VHT_27PA</vt:lpstr>
      <vt:lpstr>'Q_2B. Emissions Backup'!VHT_27PA</vt:lpstr>
      <vt:lpstr>'Q_3. Travel Time Benefits'!VHT_27PA</vt:lpstr>
      <vt:lpstr>'Q_3B. TTS Backup 2028'!VHT_27PA</vt:lpstr>
      <vt:lpstr>'Q_3C. TTS Backup 2058'!VHT_27PA</vt:lpstr>
      <vt:lpstr>'Q_3D. TTS Backup All Years'!VHT_27PA</vt:lpstr>
      <vt:lpstr>'Q_Appendix A. Parameter Values'!VHT_27PA</vt:lpstr>
      <vt:lpstr>'Q_Appendix B. Project Info'!VHT_27PA</vt:lpstr>
      <vt:lpstr>'Q_ES-1. Executive Summary'!VHT_27PA</vt:lpstr>
      <vt:lpstr>'Q_ES-2. B&amp;C Summary Backup'!VHT_27PA</vt:lpstr>
      <vt:lpstr>VHT_27PA</vt:lpstr>
      <vt:lpstr>'5. Transit Facility Benefits'!VHT_57NB</vt:lpstr>
      <vt:lpstr>'6. Pedestrian Facility Benefits'!VHT_57NB</vt:lpstr>
      <vt:lpstr>'7. Cycling Facility Benefits'!VHT_57NB</vt:lpstr>
      <vt:lpstr>'8. Mortality Reduction Benefits'!VHT_57NB</vt:lpstr>
      <vt:lpstr>'ALL_ES-1. Executive Summary'!VHT_57NB</vt:lpstr>
      <vt:lpstr>'ALL_ES-2. B&amp;C Summary Backup'!VHT_57NB</vt:lpstr>
      <vt:lpstr>'MM_12. Lifecycle Mgmt. Costs'!VHT_57NB</vt:lpstr>
      <vt:lpstr>'Q_1. Safety Benefits'!VHT_57NB</vt:lpstr>
      <vt:lpstr>'Q_10. Future Eligible Costs'!VHT_57NB</vt:lpstr>
      <vt:lpstr>'Q_11. Work Zone Impact Costs'!VHT_57NB</vt:lpstr>
      <vt:lpstr>'Q_12. Lifecycle Mgmt. Costs'!VHT_57NB</vt:lpstr>
      <vt:lpstr>'Q_1B. Safety Backup'!VHT_57NB</vt:lpstr>
      <vt:lpstr>'Q_2. Emissions Benefits'!VHT_57NB</vt:lpstr>
      <vt:lpstr>'Q_2B. Emissions Backup'!VHT_57NB</vt:lpstr>
      <vt:lpstr>'Q_3. Travel Time Benefits'!VHT_57NB</vt:lpstr>
      <vt:lpstr>'Q_3B. TTS Backup 2028'!VHT_57NB</vt:lpstr>
      <vt:lpstr>'Q_3C. TTS Backup 2058'!VHT_57NB</vt:lpstr>
      <vt:lpstr>'Q_3D. TTS Backup All Years'!VHT_57NB</vt:lpstr>
      <vt:lpstr>'Q_Appendix A. Parameter Values'!VHT_57NB</vt:lpstr>
      <vt:lpstr>'Q_Appendix B. Project Info'!VHT_57NB</vt:lpstr>
      <vt:lpstr>'Q_ES-1. Executive Summary'!VHT_57NB</vt:lpstr>
      <vt:lpstr>'Q_ES-2. B&amp;C Summary Backup'!VHT_57NB</vt:lpstr>
      <vt:lpstr>VHT_57NB</vt:lpstr>
      <vt:lpstr>'5. Transit Facility Benefits'!VHT_57PA</vt:lpstr>
      <vt:lpstr>'6. Pedestrian Facility Benefits'!VHT_57PA</vt:lpstr>
      <vt:lpstr>'7. Cycling Facility Benefits'!VHT_57PA</vt:lpstr>
      <vt:lpstr>'8. Mortality Reduction Benefits'!VHT_57PA</vt:lpstr>
      <vt:lpstr>'ALL_ES-1. Executive Summary'!VHT_57PA</vt:lpstr>
      <vt:lpstr>'ALL_ES-2. B&amp;C Summary Backup'!VHT_57PA</vt:lpstr>
      <vt:lpstr>'MM_12. Lifecycle Mgmt. Costs'!VHT_57PA</vt:lpstr>
      <vt:lpstr>'Q_1. Safety Benefits'!VHT_57PA</vt:lpstr>
      <vt:lpstr>'Q_10. Future Eligible Costs'!VHT_57PA</vt:lpstr>
      <vt:lpstr>'Q_11. Work Zone Impact Costs'!VHT_57PA</vt:lpstr>
      <vt:lpstr>'Q_12. Lifecycle Mgmt. Costs'!VHT_57PA</vt:lpstr>
      <vt:lpstr>'Q_1B. Safety Backup'!VHT_57PA</vt:lpstr>
      <vt:lpstr>'Q_2. Emissions Benefits'!VHT_57PA</vt:lpstr>
      <vt:lpstr>'Q_2B. Emissions Backup'!VHT_57PA</vt:lpstr>
      <vt:lpstr>'Q_3. Travel Time Benefits'!VHT_57PA</vt:lpstr>
      <vt:lpstr>'Q_3B. TTS Backup 2028'!VHT_57PA</vt:lpstr>
      <vt:lpstr>'Q_3C. TTS Backup 2058'!VHT_57PA</vt:lpstr>
      <vt:lpstr>'Q_3D. TTS Backup All Years'!VHT_57PA</vt:lpstr>
      <vt:lpstr>'Q_Appendix A. Parameter Values'!VHT_57PA</vt:lpstr>
      <vt:lpstr>'Q_Appendix B. Project Info'!VHT_57PA</vt:lpstr>
      <vt:lpstr>'Q_ES-1. Executive Summary'!VHT_57PA</vt:lpstr>
      <vt:lpstr>'Q_ES-2. B&amp;C Summary Backup'!VHT_57PA</vt:lpstr>
      <vt:lpstr>VHT_57PA</vt:lpstr>
      <vt:lpstr>'Q_1. Safety Benefits'!VHTChange_NB</vt:lpstr>
      <vt:lpstr>'Q_10. Future Eligible Costs'!VHTChange_NB</vt:lpstr>
      <vt:lpstr>'Q_11. Work Zone Impact Costs'!VHTChange_NB</vt:lpstr>
      <vt:lpstr>'Q_12. Lifecycle Mgmt. Costs'!VHTChange_NB</vt:lpstr>
      <vt:lpstr>'Q_1B. Safety Backup'!VHTChange_NB</vt:lpstr>
      <vt:lpstr>'Q_2. Emissions Benefits'!VHTChange_NB</vt:lpstr>
      <vt:lpstr>'Q_2B. Emissions Backup'!VHTChange_NB</vt:lpstr>
      <vt:lpstr>'Q_3. Travel Time Benefits'!VHTChange_NB</vt:lpstr>
      <vt:lpstr>'Q_3B. TTS Backup 2028'!VHTChange_NB</vt:lpstr>
      <vt:lpstr>'Q_3C. TTS Backup 2058'!VHTChange_NB</vt:lpstr>
      <vt:lpstr>'Q_3D. TTS Backup All Years'!VHTChange_NB</vt:lpstr>
      <vt:lpstr>'Q_Appendix A. Parameter Values'!VHTChange_NB</vt:lpstr>
      <vt:lpstr>'Q_Appendix B. Project Info'!VHTChange_NB</vt:lpstr>
      <vt:lpstr>'Q_ES-1. Executive Summary'!VHTChange_NB</vt:lpstr>
      <vt:lpstr>'Q_ES-2. B&amp;C Summary Backup'!VHTChange_NB</vt:lpstr>
      <vt:lpstr>VHTChange_NB</vt:lpstr>
      <vt:lpstr>'Q_1. Safety Benefits'!VHTChange_PA</vt:lpstr>
      <vt:lpstr>'Q_10. Future Eligible Costs'!VHTChange_PA</vt:lpstr>
      <vt:lpstr>'Q_11. Work Zone Impact Costs'!VHTChange_PA</vt:lpstr>
      <vt:lpstr>'Q_12. Lifecycle Mgmt. Costs'!VHTChange_PA</vt:lpstr>
      <vt:lpstr>'Q_1B. Safety Backup'!VHTChange_PA</vt:lpstr>
      <vt:lpstr>'Q_2. Emissions Benefits'!VHTChange_PA</vt:lpstr>
      <vt:lpstr>'Q_2B. Emissions Backup'!VHTChange_PA</vt:lpstr>
      <vt:lpstr>'Q_3. Travel Time Benefits'!VHTChange_PA</vt:lpstr>
      <vt:lpstr>'Q_3B. TTS Backup 2028'!VHTChange_PA</vt:lpstr>
      <vt:lpstr>'Q_3C. TTS Backup 2058'!VHTChange_PA</vt:lpstr>
      <vt:lpstr>'Q_3D. TTS Backup All Years'!VHTChange_PA</vt:lpstr>
      <vt:lpstr>'Q_Appendix A. Parameter Values'!VHTChange_PA</vt:lpstr>
      <vt:lpstr>'Q_Appendix B. Project Info'!VHTChange_PA</vt:lpstr>
      <vt:lpstr>'Q_ES-1. Executive Summary'!VHTChange_PA</vt:lpstr>
      <vt:lpstr>'Q_ES-2. B&amp;C Summary Backup'!VHTChange_PA</vt:lpstr>
      <vt:lpstr>VHTChange_PA</vt:lpstr>
      <vt:lpstr>'5. Transit Facility Benefits'!VMT_27NB</vt:lpstr>
      <vt:lpstr>'6. Pedestrian Facility Benefits'!VMT_27NB</vt:lpstr>
      <vt:lpstr>'7. Cycling Facility Benefits'!VMT_27NB</vt:lpstr>
      <vt:lpstr>'8. Mortality Reduction Benefits'!VMT_27NB</vt:lpstr>
      <vt:lpstr>'ALL_ES-1. Executive Summary'!VMT_27NB</vt:lpstr>
      <vt:lpstr>'ALL_ES-2. B&amp;C Summary Backup'!VMT_27NB</vt:lpstr>
      <vt:lpstr>'MM_12. Lifecycle Mgmt. Costs'!VMT_27NB</vt:lpstr>
      <vt:lpstr>'Q_1. Safety Benefits'!VMT_27NB</vt:lpstr>
      <vt:lpstr>'Q_10. Future Eligible Costs'!VMT_27NB</vt:lpstr>
      <vt:lpstr>'Q_11. Work Zone Impact Costs'!VMT_27NB</vt:lpstr>
      <vt:lpstr>'Q_12. Lifecycle Mgmt. Costs'!VMT_27NB</vt:lpstr>
      <vt:lpstr>'Q_1B. Safety Backup'!VMT_27NB</vt:lpstr>
      <vt:lpstr>'Q_2. Emissions Benefits'!VMT_27NB</vt:lpstr>
      <vt:lpstr>'Q_2B. Emissions Backup'!VMT_27NB</vt:lpstr>
      <vt:lpstr>'Q_3. Travel Time Benefits'!VMT_27NB</vt:lpstr>
      <vt:lpstr>'Q_3B. TTS Backup 2028'!VMT_27NB</vt:lpstr>
      <vt:lpstr>'Q_3C. TTS Backup 2058'!VMT_27NB</vt:lpstr>
      <vt:lpstr>'Q_3D. TTS Backup All Years'!VMT_27NB</vt:lpstr>
      <vt:lpstr>'Q_Appendix A. Parameter Values'!VMT_27NB</vt:lpstr>
      <vt:lpstr>'Q_Appendix B. Project Info'!VMT_27NB</vt:lpstr>
      <vt:lpstr>'Q_ES-1. Executive Summary'!VMT_27NB</vt:lpstr>
      <vt:lpstr>'Q_ES-2. B&amp;C Summary Backup'!VMT_27NB</vt:lpstr>
      <vt:lpstr>VMT_27NB</vt:lpstr>
      <vt:lpstr>'5. Transit Facility Benefits'!VMT_27PA</vt:lpstr>
      <vt:lpstr>'6. Pedestrian Facility Benefits'!VMT_27PA</vt:lpstr>
      <vt:lpstr>'7. Cycling Facility Benefits'!VMT_27PA</vt:lpstr>
      <vt:lpstr>'8. Mortality Reduction Benefits'!VMT_27PA</vt:lpstr>
      <vt:lpstr>'ALL_ES-1. Executive Summary'!VMT_27PA</vt:lpstr>
      <vt:lpstr>'ALL_ES-2. B&amp;C Summary Backup'!VMT_27PA</vt:lpstr>
      <vt:lpstr>'MM_12. Lifecycle Mgmt. Costs'!VMT_27PA</vt:lpstr>
      <vt:lpstr>'Q_1. Safety Benefits'!VMT_27PA</vt:lpstr>
      <vt:lpstr>'Q_10. Future Eligible Costs'!VMT_27PA</vt:lpstr>
      <vt:lpstr>'Q_11. Work Zone Impact Costs'!VMT_27PA</vt:lpstr>
      <vt:lpstr>'Q_12. Lifecycle Mgmt. Costs'!VMT_27PA</vt:lpstr>
      <vt:lpstr>'Q_1B. Safety Backup'!VMT_27PA</vt:lpstr>
      <vt:lpstr>'Q_2. Emissions Benefits'!VMT_27PA</vt:lpstr>
      <vt:lpstr>'Q_2B. Emissions Backup'!VMT_27PA</vt:lpstr>
      <vt:lpstr>'Q_3. Travel Time Benefits'!VMT_27PA</vt:lpstr>
      <vt:lpstr>'Q_3B. TTS Backup 2028'!VMT_27PA</vt:lpstr>
      <vt:lpstr>'Q_3C. TTS Backup 2058'!VMT_27PA</vt:lpstr>
      <vt:lpstr>'Q_3D. TTS Backup All Years'!VMT_27PA</vt:lpstr>
      <vt:lpstr>'Q_Appendix A. Parameter Values'!VMT_27PA</vt:lpstr>
      <vt:lpstr>'Q_Appendix B. Project Info'!VMT_27PA</vt:lpstr>
      <vt:lpstr>'Q_ES-1. Executive Summary'!VMT_27PA</vt:lpstr>
      <vt:lpstr>'Q_ES-2. B&amp;C Summary Backup'!VMT_27PA</vt:lpstr>
      <vt:lpstr>VMT_27PA</vt:lpstr>
      <vt:lpstr>'5. Transit Facility Benefits'!VMT_57NB</vt:lpstr>
      <vt:lpstr>'6. Pedestrian Facility Benefits'!VMT_57NB</vt:lpstr>
      <vt:lpstr>'7. Cycling Facility Benefits'!VMT_57NB</vt:lpstr>
      <vt:lpstr>'8. Mortality Reduction Benefits'!VMT_57NB</vt:lpstr>
      <vt:lpstr>'ALL_ES-1. Executive Summary'!VMT_57NB</vt:lpstr>
      <vt:lpstr>'ALL_ES-2. B&amp;C Summary Backup'!VMT_57NB</vt:lpstr>
      <vt:lpstr>'MM_12. Lifecycle Mgmt. Costs'!VMT_57NB</vt:lpstr>
      <vt:lpstr>'Q_1. Safety Benefits'!VMT_57NB</vt:lpstr>
      <vt:lpstr>'Q_10. Future Eligible Costs'!VMT_57NB</vt:lpstr>
      <vt:lpstr>'Q_11. Work Zone Impact Costs'!VMT_57NB</vt:lpstr>
      <vt:lpstr>'Q_12. Lifecycle Mgmt. Costs'!VMT_57NB</vt:lpstr>
      <vt:lpstr>'Q_1B. Safety Backup'!VMT_57NB</vt:lpstr>
      <vt:lpstr>'Q_2. Emissions Benefits'!VMT_57NB</vt:lpstr>
      <vt:lpstr>'Q_2B. Emissions Backup'!VMT_57NB</vt:lpstr>
      <vt:lpstr>'Q_3. Travel Time Benefits'!VMT_57NB</vt:lpstr>
      <vt:lpstr>'Q_3B. TTS Backup 2028'!VMT_57NB</vt:lpstr>
      <vt:lpstr>'Q_3C. TTS Backup 2058'!VMT_57NB</vt:lpstr>
      <vt:lpstr>'Q_3D. TTS Backup All Years'!VMT_57NB</vt:lpstr>
      <vt:lpstr>'Q_Appendix A. Parameter Values'!VMT_57NB</vt:lpstr>
      <vt:lpstr>'Q_Appendix B. Project Info'!VMT_57NB</vt:lpstr>
      <vt:lpstr>'Q_ES-1. Executive Summary'!VMT_57NB</vt:lpstr>
      <vt:lpstr>'Q_ES-2. B&amp;C Summary Backup'!VMT_57NB</vt:lpstr>
      <vt:lpstr>VMT_57NB</vt:lpstr>
      <vt:lpstr>'5. Transit Facility Benefits'!VMT_57PA</vt:lpstr>
      <vt:lpstr>'6. Pedestrian Facility Benefits'!VMT_57PA</vt:lpstr>
      <vt:lpstr>'7. Cycling Facility Benefits'!VMT_57PA</vt:lpstr>
      <vt:lpstr>'8. Mortality Reduction Benefits'!VMT_57PA</vt:lpstr>
      <vt:lpstr>'ALL_ES-1. Executive Summary'!VMT_57PA</vt:lpstr>
      <vt:lpstr>'ALL_ES-2. B&amp;C Summary Backup'!VMT_57PA</vt:lpstr>
      <vt:lpstr>'MM_12. Lifecycle Mgmt. Costs'!VMT_57PA</vt:lpstr>
      <vt:lpstr>'Q_1. Safety Benefits'!VMT_57PA</vt:lpstr>
      <vt:lpstr>'Q_10. Future Eligible Costs'!VMT_57PA</vt:lpstr>
      <vt:lpstr>'Q_11. Work Zone Impact Costs'!VMT_57PA</vt:lpstr>
      <vt:lpstr>'Q_12. Lifecycle Mgmt. Costs'!VMT_57PA</vt:lpstr>
      <vt:lpstr>'Q_1B. Safety Backup'!VMT_57PA</vt:lpstr>
      <vt:lpstr>'Q_2. Emissions Benefits'!VMT_57PA</vt:lpstr>
      <vt:lpstr>'Q_2B. Emissions Backup'!VMT_57PA</vt:lpstr>
      <vt:lpstr>'Q_3. Travel Time Benefits'!VMT_57PA</vt:lpstr>
      <vt:lpstr>'Q_3B. TTS Backup 2028'!VMT_57PA</vt:lpstr>
      <vt:lpstr>'Q_3C. TTS Backup 2058'!VMT_57PA</vt:lpstr>
      <vt:lpstr>'Q_3D. TTS Backup All Years'!VMT_57PA</vt:lpstr>
      <vt:lpstr>'Q_Appendix A. Parameter Values'!VMT_57PA</vt:lpstr>
      <vt:lpstr>'Q_Appendix B. Project Info'!VMT_57PA</vt:lpstr>
      <vt:lpstr>'Q_ES-1. Executive Summary'!VMT_57PA</vt:lpstr>
      <vt:lpstr>'Q_ES-2. B&amp;C Summary Backup'!VMT_57PA</vt:lpstr>
      <vt:lpstr>VMT_57PA</vt:lpstr>
      <vt:lpstr>'Q_1. Safety Benefits'!VMTChange_NB</vt:lpstr>
      <vt:lpstr>'Q_10. Future Eligible Costs'!VMTChange_NB</vt:lpstr>
      <vt:lpstr>'Q_11. Work Zone Impact Costs'!VMTChange_NB</vt:lpstr>
      <vt:lpstr>'Q_12. Lifecycle Mgmt. Costs'!VMTChange_NB</vt:lpstr>
      <vt:lpstr>'Q_1B. Safety Backup'!VMTChange_NB</vt:lpstr>
      <vt:lpstr>'Q_2. Emissions Benefits'!VMTChange_NB</vt:lpstr>
      <vt:lpstr>'Q_2B. Emissions Backup'!VMTChange_NB</vt:lpstr>
      <vt:lpstr>'Q_3. Travel Time Benefits'!VMTChange_NB</vt:lpstr>
      <vt:lpstr>'Q_3B. TTS Backup 2028'!VMTChange_NB</vt:lpstr>
      <vt:lpstr>'Q_3C. TTS Backup 2058'!VMTChange_NB</vt:lpstr>
      <vt:lpstr>'Q_3D. TTS Backup All Years'!VMTChange_NB</vt:lpstr>
      <vt:lpstr>'Q_Appendix A. Parameter Values'!VMTChange_NB</vt:lpstr>
      <vt:lpstr>'Q_Appendix B. Project Info'!VMTChange_NB</vt:lpstr>
      <vt:lpstr>'Q_ES-1. Executive Summary'!VMTChange_NB</vt:lpstr>
      <vt:lpstr>'Q_ES-2. B&amp;C Summary Backup'!VMTChange_NB</vt:lpstr>
      <vt:lpstr>VMTChange_NB</vt:lpstr>
      <vt:lpstr>'Q_1. Safety Benefits'!VMTChange_PA</vt:lpstr>
      <vt:lpstr>'Q_10. Future Eligible Costs'!VMTChange_PA</vt:lpstr>
      <vt:lpstr>'Q_11. Work Zone Impact Costs'!VMTChange_PA</vt:lpstr>
      <vt:lpstr>'Q_12. Lifecycle Mgmt. Costs'!VMTChange_PA</vt:lpstr>
      <vt:lpstr>'Q_1B. Safety Backup'!VMTChange_PA</vt:lpstr>
      <vt:lpstr>'Q_2. Emissions Benefits'!VMTChange_PA</vt:lpstr>
      <vt:lpstr>'Q_2B. Emissions Backup'!VMTChange_PA</vt:lpstr>
      <vt:lpstr>'Q_3. Travel Time Benefits'!VMTChange_PA</vt:lpstr>
      <vt:lpstr>'Q_3B. TTS Backup 2028'!VMTChange_PA</vt:lpstr>
      <vt:lpstr>'Q_3C. TTS Backup 2058'!VMTChange_PA</vt:lpstr>
      <vt:lpstr>'Q_3D. TTS Backup All Years'!VMTChange_PA</vt:lpstr>
      <vt:lpstr>'Q_Appendix A. Parameter Values'!VMTChange_PA</vt:lpstr>
      <vt:lpstr>'Q_Appendix B. Project Info'!VMTChange_PA</vt:lpstr>
      <vt:lpstr>'Q_ES-1. Executive Summary'!VMTChange_PA</vt:lpstr>
      <vt:lpstr>'Q_ES-2. B&amp;C Summary Backup'!VMTChange_PA</vt:lpstr>
      <vt:lpstr>VMTChange_PA</vt:lpstr>
      <vt:lpstr>'5. Transit Facility Benefits'!Years_All</vt:lpstr>
      <vt:lpstr>'6. Pedestrian Facility Benefits'!Years_All</vt:lpstr>
      <vt:lpstr>'7. Cycling Facility Benefits'!Years_All</vt:lpstr>
      <vt:lpstr>'8. Mortality Reduction Benefits'!Years_All</vt:lpstr>
      <vt:lpstr>'ALL_ES-1. Executive Summary'!Years_All</vt:lpstr>
      <vt:lpstr>'ALL_ES-2. B&amp;C Summary Backup'!Years_All</vt:lpstr>
      <vt:lpstr>'MM_12. Lifecycle Mgmt. Costs'!Years_All</vt:lpstr>
      <vt:lpstr>'Q_1. Safety Benefits'!Years_All</vt:lpstr>
      <vt:lpstr>'Q_10. Future Eligible Costs'!Years_All</vt:lpstr>
      <vt:lpstr>'Q_11. Work Zone Impact Costs'!Years_All</vt:lpstr>
      <vt:lpstr>'Q_12. Lifecycle Mgmt. Costs'!Years_All</vt:lpstr>
      <vt:lpstr>'Q_1B. Safety Backup'!Years_All</vt:lpstr>
      <vt:lpstr>'Q_2. Emissions Benefits'!Years_All</vt:lpstr>
      <vt:lpstr>'Q_2B. Emissions Backup'!Years_All</vt:lpstr>
      <vt:lpstr>'Q_3. Travel Time Benefits'!Years_All</vt:lpstr>
      <vt:lpstr>'Q_3B. TTS Backup 2028'!Years_All</vt:lpstr>
      <vt:lpstr>'Q_3C. TTS Backup 2058'!Years_All</vt:lpstr>
      <vt:lpstr>'Q_3D. TTS Backup All Years'!Years_All</vt:lpstr>
      <vt:lpstr>'Q_Appendix A. Parameter Values'!Years_All</vt:lpstr>
      <vt:lpstr>'Q_Appendix B. Project Info'!Years_All</vt:lpstr>
      <vt:lpstr>'Q_ES-1. Executive Summary'!Years_All</vt:lpstr>
      <vt:lpstr>'Q_ES-2. B&amp;C Summary Backup'!Years_All</vt:lpstr>
      <vt:lpstr>Years_All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Pavao, Peter</dc:creator>
  <cp:keywords/>
  <dc:description/>
  <cp:lastModifiedBy>White, Kenneth (DOT)</cp:lastModifiedBy>
  <cp:revision/>
  <dcterms:created xsi:type="dcterms:W3CDTF">2015-06-01T19:26:38Z</dcterms:created>
  <dcterms:modified xsi:type="dcterms:W3CDTF">2023-08-21T17:58:45Z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a07801b6-18da-424a-99df-a5b6b797f36a</vt:lpwstr>
  </property>
  <property fmtid="{D5CDD505-2E9C-101B-9397-08002B2CF9AE}" pid="3" name="ContentTypeId">
    <vt:lpwstr>0x010100C18B07D2C264AE4AB45E609DD8134571</vt:lpwstr>
  </property>
  <property fmtid="{D5CDD505-2E9C-101B-9397-08002B2CF9AE}" pid="4" name="MediaServiceImageTags">
    <vt:lpwstr/>
  </property>
</Properties>
</file>