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5.xml" ContentType="application/vnd.openxmlformats-officedocument.drawing+xml"/>
  <Override PartName="/xl/tables/table12.xml" ContentType="application/vnd.openxmlformats-officedocument.spreadsheetml.table+xml"/>
  <Override PartName="/xl/drawings/drawing6.xml" ContentType="application/vnd.openxmlformats-officedocument.drawing+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drawings/drawing7.xml" ContentType="application/vnd.openxmlformats-officedocument.drawing+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drawings/drawing8.xml" ContentType="application/vnd.openxmlformats-officedocument.drawing+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9.xml" ContentType="application/vnd.openxmlformats-officedocument.drawing+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drawings/drawing10.xml" ContentType="application/vnd.openxmlformats-officedocument.drawing+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drawings/drawing11.xml" ContentType="application/vnd.openxmlformats-officedocument.drawing+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drawings/drawing12.xml" ContentType="application/vnd.openxmlformats-officedocument.drawing+xml"/>
  <Override PartName="/xl/drawings/drawing13.xml" ContentType="application/vnd.openxmlformats-officedocument.drawing+xml"/>
  <Override PartName="/xl/tables/table40.xml" ContentType="application/vnd.openxmlformats-officedocument.spreadsheetml.table+xml"/>
  <Override PartName="/xl/tables/table41.xml" ContentType="application/vnd.openxmlformats-officedocument.spreadsheetml.table+xml"/>
  <Override PartName="/xl/drawings/drawing14.xml" ContentType="application/vnd.openxmlformats-officedocument.drawing+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drawings/drawing15.xml" ContentType="application/vnd.openxmlformats-officedocument.drawing+xml"/>
  <Override PartName="/xl/tables/table48.xml" ContentType="application/vnd.openxmlformats-officedocument.spreadsheetml.table+xml"/>
  <Override PartName="/xl/drawings/drawing16.xml" ContentType="application/vnd.openxmlformats-officedocument.drawing+xml"/>
  <Override PartName="/xl/tables/table49.xml" ContentType="application/vnd.openxmlformats-officedocument.spreadsheetml.table+xml"/>
  <Override PartName="/xl/drawings/drawing17.xml" ContentType="application/vnd.openxmlformats-officedocument.drawing+xml"/>
  <Override PartName="/xl/tables/table50.xml" ContentType="application/vnd.openxmlformats-officedocument.spreadsheetml.table+xml"/>
  <Override PartName="/xl/drawings/drawing18.xml" ContentType="application/vnd.openxmlformats-officedocument.drawing+xml"/>
  <Override PartName="/xl/tables/table51.xml" ContentType="application/vnd.openxmlformats-officedocument.spreadsheetml.table+xml"/>
  <Override PartName="/xl/drawings/drawing19.xml" ContentType="application/vnd.openxmlformats-officedocument.drawing+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drawings/drawing20.xml" ContentType="application/vnd.openxmlformats-officedocument.drawing+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drawings/drawing21.xml" ContentType="application/vnd.openxmlformats-officedocument.drawing+xml"/>
  <Override PartName="/xl/tables/table58.xml" ContentType="application/vnd.openxmlformats-officedocument.spreadsheetml.table+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drawings/drawing25.xml" ContentType="application/vnd.openxmlformats-officedocument.drawing+xml"/>
  <Override PartName="/xl/drawings/drawing26.xml" ContentType="application/vnd.openxmlformats-officedocument.drawing+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drawings/drawing27.xml" ContentType="application/vnd.openxmlformats-officedocument.drawing+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drawings/drawing28.xml" ContentType="application/vnd.openxmlformats-officedocument.drawing+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mc:AlternateContent xmlns:mc="http://schemas.openxmlformats.org/markup-compatibility/2006">
    <mc:Choice Requires="x15">
      <x15ac:absPath xmlns:x15ac="http://schemas.microsoft.com/office/spreadsheetml/2010/11/ac" url="https://vhb.sharepoint.com/sites/7333700/Shared Documents/Route 37/BCA/"/>
    </mc:Choice>
  </mc:AlternateContent>
  <xr:revisionPtr revIDLastSave="197" documentId="13_ncr:1_{EF4EE216-EBD4-4640-A5F5-DBC113AF51F3}" xr6:coauthVersionLast="47" xr6:coauthVersionMax="47" xr10:uidLastSave="{6FA811AA-60E7-447D-B3AC-0BD3DE729EA3}"/>
  <bookViews>
    <workbookView xWindow="28680" yWindow="-120" windowWidth="29040" windowHeight="15840" tabRatio="899" firstSheet="18" activeTab="28" xr2:uid="{00000000-000D-0000-FFFF-FFFF00000000}"/>
  </bookViews>
  <sheets>
    <sheet name="ES-1. Executive Summary" sheetId="2" r:id="rId1"/>
    <sheet name="ES-2. B&amp;C Summary Backup" sheetId="26" r:id="rId2"/>
    <sheet name="Freight Rating" sheetId="29" state="hidden" r:id="rId3"/>
    <sheet name="1. Safety Benefits" sheetId="4" r:id="rId4"/>
    <sheet name="1B. Safety Backup" sheetId="27" r:id="rId5"/>
    <sheet name="2. Emissions Benefits" sheetId="11" r:id="rId6"/>
    <sheet name="2B. Emissions Backup" sheetId="17" r:id="rId7"/>
    <sheet name="3. Travel Time Benefits" sheetId="6" r:id="rId8"/>
    <sheet name="3B. TTS Backup 2028" sheetId="18" r:id="rId9"/>
    <sheet name="3C. TTS Backup 2058" sheetId="33" r:id="rId10"/>
    <sheet name="3D. TTS Backup All Years" sheetId="21" r:id="rId11"/>
    <sheet name="Job Creation Benefit" sheetId="13" state="hidden" r:id="rId12"/>
    <sheet name="Job Creation Backup" sheetId="25" state="hidden" r:id="rId13"/>
    <sheet name="4. Foregone Cost Savings" sheetId="9" r:id="rId14"/>
    <sheet name="4B. Foregone Cost Backup" sheetId="43" r:id="rId15"/>
    <sheet name="5. Transit Facility Benefits" sheetId="44" state="hidden" r:id="rId16"/>
    <sheet name="5B. Transit Facility Backup" sheetId="35" state="hidden" r:id="rId17"/>
    <sheet name="5. Repurposing ROW Benefits" sheetId="49" r:id="rId18"/>
    <sheet name="6. Pedestrian Facility Benefits" sheetId="45" r:id="rId19"/>
    <sheet name="6B. Pedestrian Facility Backup" sheetId="36" r:id="rId20"/>
    <sheet name="7. Cycling Facility Benefits" sheetId="40" state="hidden" r:id="rId21"/>
    <sheet name="8. Mortality Reduction Benefits" sheetId="41" state="hidden" r:id="rId22"/>
    <sheet name="9. Ped &amp; Cyclist Count Backup" sheetId="42" state="hidden" r:id="rId23"/>
    <sheet name="Work Zone Closure Impact" sheetId="8" state="hidden" r:id="rId24"/>
    <sheet name="10. Future Eligible Costs" sheetId="14" r:id="rId25"/>
    <sheet name="11. Work Zone Impact Costs" sheetId="10" r:id="rId26"/>
    <sheet name="12. Lifecycle Mgmt. Costs" sheetId="47" r:id="rId27"/>
    <sheet name="Appendix A. Parameter Values" sheetId="32" r:id="rId28"/>
    <sheet name="Appendix B. Project Info" sheetId="30" r:id="rId29"/>
  </sheets>
  <definedNames>
    <definedName name="_xlnm._FilterDatabase" localSheetId="3" hidden="1">'1. Safety Benefits'!#REF!</definedName>
    <definedName name="All_Purpose_Travel">'Appendix A. Parameter Values'!$C$35</definedName>
    <definedName name="AvgDelay_27NB" localSheetId="26">Table3B.3_27TTS_NB[[#Totals],[Average Delay (hr/veh)]]</definedName>
    <definedName name="AvgDelay_27NB" localSheetId="17">Table3B.3_27TTS_NB[[#Totals],[Average Delay (hr/veh)]]</definedName>
    <definedName name="AvgDelay_27NB" localSheetId="15">Table3B.3_27TTS_NB[[#Totals],[Average Delay (hr/veh)]]</definedName>
    <definedName name="AvgDelay_27NB" localSheetId="18">Table3B.3_27TTS_NB[[#Totals],[Average Delay (hr/veh)]]</definedName>
    <definedName name="AvgDelay_27NB" localSheetId="20">Table3B.3_27TTS_NB[[#Totals],[Average Delay (hr/veh)]]</definedName>
    <definedName name="AvgDelay_27NB" localSheetId="21">Table3B.3_27TTS_NB[[#Totals],[Average Delay (hr/veh)]]</definedName>
    <definedName name="AvgDelay_27NB">Table3B.3_27TTS_NB[[#Totals],[Average Delay (hr/veh)]]</definedName>
    <definedName name="AvgDelay_27PA" localSheetId="26">Table3B.5_27TTS_PA[[#Totals],[Average Delay: Per Vehicle (hr/veh)]]</definedName>
    <definedName name="AvgDelay_27PA" localSheetId="17">Table3B.5_27TTS_PA[[#Totals],[Average Delay: Per Vehicle (hr/veh)]]</definedName>
    <definedName name="AvgDelay_27PA" localSheetId="15">Table3B.5_27TTS_PA[[#Totals],[Average Delay: Per Vehicle (hr/veh)]]</definedName>
    <definedName name="AvgDelay_27PA" localSheetId="18">Table3B.5_27TTS_PA[[#Totals],[Average Delay: Per Vehicle (hr/veh)]]</definedName>
    <definedName name="AvgDelay_27PA" localSheetId="20">Table3B.5_27TTS_PA[[#Totals],[Average Delay: Per Vehicle (hr/veh)]]</definedName>
    <definedName name="AvgDelay_27PA" localSheetId="21">Table3B.5_27TTS_PA[[#Totals],[Average Delay: Per Vehicle (hr/veh)]]</definedName>
    <definedName name="AvgDelay_27PA">Table3B.5_27TTS_PA[[#Totals],[Average Delay: Per Vehicle (hr/veh)]]</definedName>
    <definedName name="AvgDelay_27PAB" localSheetId="26">Table3B.5_27TTS_PA[[#Totals],[Average Delay: Per Vehicle (hr/veh)]]</definedName>
    <definedName name="AvgDelay_27PAB" localSheetId="17">Table3B.5_27TTS_PA[[#Totals],[Average Delay: Per Vehicle (hr/veh)]]</definedName>
    <definedName name="AvgDelay_27PAB" localSheetId="15">Table3B.5_27TTS_PA[[#Totals],[Average Delay: Per Vehicle (hr/veh)]]</definedName>
    <definedName name="AvgDelay_27PAB" localSheetId="18">Table3B.5_27TTS_PA[[#Totals],[Average Delay: Per Vehicle (hr/veh)]]</definedName>
    <definedName name="AvgDelay_27PAB">Table3B.5_27TTS_PA[[#Totals],[Average Delay: Per Vehicle (hr/veh)]]</definedName>
    <definedName name="AvgDelay_57NB" localSheetId="26">Table3C.1_57TTS_NB[[#Totals],[Average Delay (hr/veh)]]</definedName>
    <definedName name="AvgDelay_57NB" localSheetId="17">Table3C.1_57TTS_NB[[#Totals],[Average Delay (hr/veh)]]</definedName>
    <definedName name="AvgDelay_57NB" localSheetId="15">Table3C.1_57TTS_NB[[#Totals],[Average Delay (hr/veh)]]</definedName>
    <definedName name="AvgDelay_57NB" localSheetId="18">Table3C.1_57TTS_NB[[#Totals],[Average Delay (hr/veh)]]</definedName>
    <definedName name="AvgDelay_57NB" localSheetId="20">Table3C.1_57TTS_NB[[#Totals],[Average Delay (hr/veh)]]</definedName>
    <definedName name="AvgDelay_57NB" localSheetId="21">Table3C.1_57TTS_NB[[#Totals],[Average Delay (hr/veh)]]</definedName>
    <definedName name="AvgDelay_57NB">Table3C.1_57TTS_NB[[#Totals],[Average Delay (hr/veh)]]</definedName>
    <definedName name="AvgDelay_57PA" localSheetId="26">Table3C.3_57TTS_PA[[#Totals],[Average Delay: Per Vehicle (hr/veh)]]</definedName>
    <definedName name="AvgDelay_57PA" localSheetId="17">Table3C.3_57TTS_PA[[#Totals],[Average Delay: Per Vehicle (hr/veh)]]</definedName>
    <definedName name="AvgDelay_57PA" localSheetId="15">Table3C.3_57TTS_PA[[#Totals],[Average Delay: Per Vehicle (hr/veh)]]</definedName>
    <definedName name="AvgDelay_57PA" localSheetId="18">Table3C.3_57TTS_PA[[#Totals],[Average Delay: Per Vehicle (hr/veh)]]</definedName>
    <definedName name="AvgDelay_57PA" localSheetId="20">Table3C.3_57TTS_PA[[#Totals],[Average Delay: Per Vehicle (hr/veh)]]</definedName>
    <definedName name="AvgDelay_57PA" localSheetId="21">Table3C.3_57TTS_PA[[#Totals],[Average Delay: Per Vehicle (hr/veh)]]</definedName>
    <definedName name="AvgDelay_57PA">Table3C.3_57TTS_PA[[#Totals],[Average Delay: Per Vehicle (hr/veh)]]</definedName>
    <definedName name="Closeout">'Appendix B. Project Info'!$F$15</definedName>
    <definedName name="Date">'Appendix B. Project Info'!$C$13</definedName>
    <definedName name="DelayChange_NB">'3. Travel Time Benefits'!$G$27</definedName>
    <definedName name="DelayChange_PA">'3. Travel Time Benefits'!$G$28</definedName>
    <definedName name="DelayTot_27NB" localSheetId="26">Table3B.3_27TTS_NB[[#Totals],[Total Delay (hr)]]</definedName>
    <definedName name="DelayTot_27NB" localSheetId="17">Table3B.3_27TTS_NB[[#Totals],[Total Delay (hr)]]</definedName>
    <definedName name="DelayTot_27NB" localSheetId="15">Table3B.3_27TTS_NB[[#Totals],[Total Delay (hr)]]</definedName>
    <definedName name="DelayTot_27NB" localSheetId="18">Table3B.3_27TTS_NB[[#Totals],[Total Delay (hr)]]</definedName>
    <definedName name="DelayTot_27NB" localSheetId="20">Table3B.3_27TTS_NB[[#Totals],[Total Delay (hr)]]</definedName>
    <definedName name="DelayTot_27NB" localSheetId="21">Table3B.3_27TTS_NB[[#Totals],[Total Delay (hr)]]</definedName>
    <definedName name="DelayTot_27NB">Table3B.3_27TTS_NB[[#Totals],[Total Delay (hr)]]</definedName>
    <definedName name="DelayTot_27PA" localSheetId="26">Table3B.5_27TTS_PA[[#Totals],[Total Delay: All Vehicles (hr)]]</definedName>
    <definedName name="DelayTot_27PA" localSheetId="17">Table3B.5_27TTS_PA[[#Totals],[Total Delay: All Vehicles (hr)]]</definedName>
    <definedName name="DelayTot_27PA" localSheetId="15">Table3B.5_27TTS_PA[[#Totals],[Total Delay: All Vehicles (hr)]]</definedName>
    <definedName name="DelayTot_27PA" localSheetId="18">Table3B.5_27TTS_PA[[#Totals],[Total Delay: All Vehicles (hr)]]</definedName>
    <definedName name="DelayTot_27PA" localSheetId="20">Table3B.5_27TTS_PA[[#Totals],[Total Delay: All Vehicles (hr)]]</definedName>
    <definedName name="DelayTot_27PA" localSheetId="21">Table3B.5_27TTS_PA[[#Totals],[Total Delay: All Vehicles (hr)]]</definedName>
    <definedName name="DelayTot_27PA">Table3B.5_27TTS_PA[[#Totals],[Total Delay: All Vehicles (hr)]]</definedName>
    <definedName name="DelayTotChange_NB" localSheetId="26">(Table3C.1_57TTS_NB[[#Totals],[Total Delay (hr)]]-Table3B.3_27TTS_NB[[#Totals],[Total Delay (hr)]])/30</definedName>
    <definedName name="DelayTotChange_NB" localSheetId="17">(Table3C.1_57TTS_NB[[#Totals],[Total Delay (hr)]]-Table3B.3_27TTS_NB[[#Totals],[Total Delay (hr)]])/30</definedName>
    <definedName name="DelayTotChange_NB" localSheetId="15">(Table3C.1_57TTS_NB[[#Totals],[Total Delay (hr)]]-Table3B.3_27TTS_NB[[#Totals],[Total Delay (hr)]])/30</definedName>
    <definedName name="DelayTotChange_NB" localSheetId="18">(Table3C.1_57TTS_NB[[#Totals],[Total Delay (hr)]]-Table3B.3_27TTS_NB[[#Totals],[Total Delay (hr)]])/30</definedName>
    <definedName name="DelayTotChange_NB" localSheetId="20">(Table3C.1_57TTS_NB[[#Totals],[Total Delay (hr)]]-Table3B.3_27TTS_NB[[#Totals],[Total Delay (hr)]])/30</definedName>
    <definedName name="DelayTotChange_NB" localSheetId="21">(Table3C.1_57TTS_NB[[#Totals],[Total Delay (hr)]]-Table3B.3_27TTS_NB[[#Totals],[Total Delay (hr)]])/30</definedName>
    <definedName name="DelayTotChange_NB">(Table3C.1_57TTS_NB[[#Totals],[Total Delay (hr)]]-Table3B.3_27TTS_NB[[#Totals],[Total Delay (hr)]])/30</definedName>
    <definedName name="DelayTotChange_PA" localSheetId="26">(Table3C.3_57TTS_PA[[#Totals],[Total Delay: All Vehicles (hr)]]-Table3B.5_27TTS_PA[[#Totals],[Total Delay: All Vehicles (hr)]])/30</definedName>
    <definedName name="DelayTotChange_PA" localSheetId="17">(Table3C.3_57TTS_PA[[#Totals],[Total Delay: All Vehicles (hr)]]-Table3B.5_27TTS_PA[[#Totals],[Total Delay: All Vehicles (hr)]])/30</definedName>
    <definedName name="DelayTotChange_PA" localSheetId="15">(Table3C.3_57TTS_PA[[#Totals],[Total Delay: All Vehicles (hr)]]-Table3B.5_27TTS_PA[[#Totals],[Total Delay: All Vehicles (hr)]])/30</definedName>
    <definedName name="DelayTotChange_PA" localSheetId="18">(Table3C.3_57TTS_PA[[#Totals],[Total Delay: All Vehicles (hr)]]-Table3B.5_27TTS_PA[[#Totals],[Total Delay: All Vehicles (hr)]])/30</definedName>
    <definedName name="DelayTotChange_PA" localSheetId="20">(Table3C.3_57TTS_PA[[#Totals],[Total Delay: All Vehicles (hr)]]-Table3B.5_27TTS_PA[[#Totals],[Total Delay: All Vehicles (hr)]])/30</definedName>
    <definedName name="DelayTotChange_PA" localSheetId="21">(Table3C.3_57TTS_PA[[#Totals],[Total Delay: All Vehicles (hr)]]-Table3B.5_27TTS_PA[[#Totals],[Total Delay: All Vehicles (hr)]])/30</definedName>
    <definedName name="DelayTotChange_PA">(Table3C.3_57TTS_PA[[#Totals],[Total Delay: All Vehicles (hr)]]-Table3B.5_27TTS_PA[[#Totals],[Total Delay: All Vehicles (hr)]])/30</definedName>
    <definedName name="First_Year">'Appendix B. Project Info'!$C$14</definedName>
    <definedName name="Last_Year">'Appendix B. Project Info'!$C$15</definedName>
    <definedName name="MPH_27NB" localSheetId="26">Table3B.3_27TTS_NB[[#Totals],[Average Speed (mph)]]</definedName>
    <definedName name="MPH_27NB" localSheetId="17">Table3B.3_27TTS_NB[[#Totals],[Average Speed (mph)]]</definedName>
    <definedName name="MPH_27NB" localSheetId="15">Table3B.3_27TTS_NB[[#Totals],[Average Speed (mph)]]</definedName>
    <definedName name="MPH_27NB" localSheetId="18">Table3B.3_27TTS_NB[[#Totals],[Average Speed (mph)]]</definedName>
    <definedName name="MPH_27NB" localSheetId="20">Table3B.3_27TTS_NB[[#Totals],[Average Speed (mph)]]</definedName>
    <definedName name="MPH_27NB" localSheetId="21">Table3B.3_27TTS_NB[[#Totals],[Average Speed (mph)]]</definedName>
    <definedName name="MPH_27NB">Table3B.3_27TTS_NB[[#Totals],[Average Speed (mph)]]</definedName>
    <definedName name="MPH_27PA" localSheetId="26">Table3B.5_27TTS_PA[[#Totals],[Average Speed (mph)]]</definedName>
    <definedName name="MPH_27PA" localSheetId="17">Table3B.5_27TTS_PA[[#Totals],[Average Speed (mph)]]</definedName>
    <definedName name="MPH_27PA" localSheetId="15">Table3B.5_27TTS_PA[[#Totals],[Average Speed (mph)]]</definedName>
    <definedName name="MPH_27PA" localSheetId="18">Table3B.5_27TTS_PA[[#Totals],[Average Speed (mph)]]</definedName>
    <definedName name="MPH_27PA" localSheetId="20">Table3B.5_27TTS_PA[[#Totals],[Average Speed (mph)]]</definedName>
    <definedName name="MPH_27PA" localSheetId="21">Table3B.5_27TTS_PA[[#Totals],[Average Speed (mph)]]</definedName>
    <definedName name="MPH_27PA">Table3B.5_27TTS_PA[[#Totals],[Average Speed (mph)]]</definedName>
    <definedName name="MPH_57NB" localSheetId="26">Table3C.1_57TTS_NB[[#Totals],[Average Speed (mph)]]</definedName>
    <definedName name="MPH_57NB" localSheetId="17">Table3C.1_57TTS_NB[[#Totals],[Average Speed (mph)]]</definedName>
    <definedName name="MPH_57NB" localSheetId="15">Table3C.1_57TTS_NB[[#Totals],[Average Speed (mph)]]</definedName>
    <definedName name="MPH_57NB" localSheetId="18">Table3C.1_57TTS_NB[[#Totals],[Average Speed (mph)]]</definedName>
    <definedName name="MPH_57NB" localSheetId="20">Table3C.1_57TTS_NB[[#Totals],[Average Speed (mph)]]</definedName>
    <definedName name="MPH_57NB" localSheetId="21">Table3C.1_57TTS_NB[[#Totals],[Average Speed (mph)]]</definedName>
    <definedName name="MPH_57NB">Table3C.1_57TTS_NB[[#Totals],[Average Speed (mph)]]</definedName>
    <definedName name="MPH_57PA" localSheetId="26">Table3C.3_57TTS_PA[[#Totals],[Average Speed (mph)]]</definedName>
    <definedName name="MPH_57PA" localSheetId="17">Table3C.3_57TTS_PA[[#Totals],[Average Speed (mph)]]</definedName>
    <definedName name="MPH_57PA" localSheetId="15">Table3C.3_57TTS_PA[[#Totals],[Average Speed (mph)]]</definedName>
    <definedName name="MPH_57PA" localSheetId="18">Table3C.3_57TTS_PA[[#Totals],[Average Speed (mph)]]</definedName>
    <definedName name="MPH_57PA" localSheetId="20">Table3C.3_57TTS_PA[[#Totals],[Average Speed (mph)]]</definedName>
    <definedName name="MPH_57PA" localSheetId="21">Table3C.3_57TTS_PA[[#Totals],[Average Speed (mph)]]</definedName>
    <definedName name="MPH_57PA">Table3C.3_57TTS_PA[[#Totals],[Average Speed (mph)]]</definedName>
    <definedName name="MPHChange_NB">'3. Travel Time Benefits'!$F$27</definedName>
    <definedName name="MPHChange_PA">'3. Travel Time Benefits'!$F$28</definedName>
    <definedName name="Passenger_Vehicles_Occupancy">'Appendix A. Parameter Values'!$C$48</definedName>
    <definedName name="_xlnm.Print_Area" localSheetId="3">'1. Safety Benefits'!$A$1:$I$131</definedName>
    <definedName name="_xlnm.Print_Area" localSheetId="24">'10. Future Eligible Costs'!$A$1:$I$86</definedName>
    <definedName name="_xlnm.Print_Area" localSheetId="25">'11. Work Zone Impact Costs'!$A$1:$J$34</definedName>
    <definedName name="_xlnm.Print_Area" localSheetId="26">'12. Lifecycle Mgmt. Costs'!$A$1:$J$48</definedName>
    <definedName name="_xlnm.Print_Area" localSheetId="4">'1B. Safety Backup'!$A$1:$I$53</definedName>
    <definedName name="_xlnm.Print_Area" localSheetId="5">'2. Emissions Benefits'!$A$1:$J$42</definedName>
    <definedName name="_xlnm.Print_Area" localSheetId="6">'2B. Emissions Backup'!$A$1:$I$193</definedName>
    <definedName name="_xlnm.Print_Area" localSheetId="7">'3. Travel Time Benefits'!$A$1:$J$36</definedName>
    <definedName name="_xlnm.Print_Area" localSheetId="8">'3B. TTS Backup 2028'!$A$1:$I$153</definedName>
    <definedName name="_xlnm.Print_Area" localSheetId="13">'4. Foregone Cost Savings'!$A$1:$I$31</definedName>
    <definedName name="_xlnm.Print_Area" localSheetId="14">'4B. Foregone Cost Backup'!$A$1:$J$77</definedName>
    <definedName name="_xlnm.Print_Area" localSheetId="17">'5. Repurposing ROW Benefits'!$A$1:$J$23</definedName>
    <definedName name="_xlnm.Print_Area" localSheetId="18">'6. Pedestrian Facility Benefits'!$A$1:$J$18</definedName>
    <definedName name="_xlnm.Print_Area" localSheetId="19">'6B. Pedestrian Facility Backup'!$A$1:$J$30</definedName>
    <definedName name="_xlnm.Print_Area" localSheetId="0">'ES-1. Executive Summary'!$A$1:$K$61</definedName>
    <definedName name="_xlnm.Print_Area" localSheetId="1">'ES-2. B&amp;C Summary Backup'!$A$1:$O$98</definedName>
    <definedName name="_xlnm.Print_Titles" localSheetId="3">'1. Safety Benefits'!$1:$5</definedName>
    <definedName name="_xlnm.Print_Titles" localSheetId="26">'12. Lifecycle Mgmt. Costs'!$1:$5</definedName>
    <definedName name="_xlnm.Print_Titles" localSheetId="4">'1B. Safety Backup'!$1:$6</definedName>
    <definedName name="_xlnm.Print_Titles" localSheetId="5">'2. Emissions Benefits'!$1:$5</definedName>
    <definedName name="_xlnm.Print_Titles" localSheetId="6">'2B. Emissions Backup'!$1:$5</definedName>
    <definedName name="_xlnm.Print_Titles" localSheetId="8">'3B. TTS Backup 2028'!$1:$5</definedName>
    <definedName name="_xlnm.Print_Titles" localSheetId="9">'3C. TTS Backup 2058'!$1:$5</definedName>
    <definedName name="_xlnm.Print_Titles" localSheetId="10">'3D. TTS Backup All Years'!$1:$5</definedName>
    <definedName name="_xlnm.Print_Titles" localSheetId="13">'4. Foregone Cost Savings'!$1:$6</definedName>
    <definedName name="_xlnm.Print_Titles" localSheetId="14">'4B. Foregone Cost Backup'!$1:$4</definedName>
    <definedName name="_xlnm.Print_Titles" localSheetId="17">'5. Repurposing ROW Benefits'!$1:$6</definedName>
    <definedName name="_xlnm.Print_Titles" localSheetId="15">'5. Transit Facility Benefits'!$1:$6</definedName>
    <definedName name="_xlnm.Print_Titles" localSheetId="18">'6. Pedestrian Facility Benefits'!$1:$6</definedName>
    <definedName name="_xlnm.Print_Titles" localSheetId="20">'7. Cycling Facility Benefits'!$1:$4</definedName>
    <definedName name="_xlnm.Print_Titles" localSheetId="27">'Appendix A. Parameter Values'!$1:$5</definedName>
    <definedName name="_xlnm.Print_Titles" localSheetId="1">'ES-2. B&amp;C Summary Backup'!$1:$5</definedName>
    <definedName name="Project_Name">'Appendix B. Project Info'!$C$12</definedName>
    <definedName name="TrafChange_NB">'3. Travel Time Benefits'!$C$27</definedName>
    <definedName name="TrafChange_PA">'3. Travel Time Benefits'!$C$28</definedName>
    <definedName name="Traffic_27NB" localSheetId="26">Table3B.3_27TTS_NB[[#Totals],[Total Vehicles in Network]]</definedName>
    <definedName name="Traffic_27NB" localSheetId="17">Table3B.3_27TTS_NB[[#Totals],[Total Vehicles in Network]]</definedName>
    <definedName name="Traffic_27NB" localSheetId="15">Table3B.3_27TTS_NB[[#Totals],[Total Vehicles in Network]]</definedName>
    <definedName name="Traffic_27NB" localSheetId="18">Table3B.3_27TTS_NB[[#Totals],[Total Vehicles in Network]]</definedName>
    <definedName name="Traffic_27NB" localSheetId="20">Table3B.3_27TTS_NB[[#Totals],[Total Vehicles in Network]]</definedName>
    <definedName name="Traffic_27NB" localSheetId="21">Table3B.3_27TTS_NB[[#Totals],[Total Vehicles in Network]]</definedName>
    <definedName name="Traffic_27NB">Table3B.3_27TTS_NB[[#Totals],[Total Vehicles in Network]]</definedName>
    <definedName name="Traffic_27PA" localSheetId="26">Table3B.5_27TTS_PA[[#Totals],[Total Vehicles Traveling Within the Network]]</definedName>
    <definedName name="Traffic_27PA" localSheetId="17">Table3B.5_27TTS_PA[[#Totals],[Total Vehicles Traveling Within the Network]]</definedName>
    <definedName name="Traffic_27PA" localSheetId="15">Table3B.5_27TTS_PA[[#Totals],[Total Vehicles Traveling Within the Network]]</definedName>
    <definedName name="Traffic_27PA" localSheetId="18">Table3B.5_27TTS_PA[[#Totals],[Total Vehicles Traveling Within the Network]]</definedName>
    <definedName name="Traffic_27PA" localSheetId="20">Table3B.5_27TTS_PA[[#Totals],[Total Vehicles Traveling Within the Network]]</definedName>
    <definedName name="Traffic_27PA" localSheetId="21">Table3B.5_27TTS_PA[[#Totals],[Total Vehicles Traveling Within the Network]]</definedName>
    <definedName name="Traffic_27PA">Table3B.5_27TTS_PA[[#Totals],[Total Vehicles Traveling Within the Network]]</definedName>
    <definedName name="Traffic_57NB" localSheetId="26">Table3C.1_57TTS_NB[[#Totals],[Total Vehicles in Network]]</definedName>
    <definedName name="Traffic_57NB" localSheetId="17">Table3C.1_57TTS_NB[[#Totals],[Total Vehicles in Network]]</definedName>
    <definedName name="Traffic_57NB" localSheetId="15">Table3C.1_57TTS_NB[[#Totals],[Total Vehicles in Network]]</definedName>
    <definedName name="Traffic_57NB" localSheetId="18">Table3C.1_57TTS_NB[[#Totals],[Total Vehicles in Network]]</definedName>
    <definedName name="Traffic_57NB" localSheetId="20">Table3C.1_57TTS_NB[[#Totals],[Total Vehicles in Network]]</definedName>
    <definedName name="Traffic_57NB" localSheetId="21">Table3C.1_57TTS_NB[[#Totals],[Total Vehicles in Network]]</definedName>
    <definedName name="Traffic_57NB">Table3C.1_57TTS_NB[[#Totals],[Total Vehicles in Network]]</definedName>
    <definedName name="Traffic_57PA" localSheetId="26">Table3C.3_57TTS_PA[[#Totals],[Total Vehicles Traveling Within the Network]]</definedName>
    <definedName name="Traffic_57PA" localSheetId="17">Table3C.3_57TTS_PA[[#Totals],[Total Vehicles Traveling Within the Network]]</definedName>
    <definedName name="Traffic_57PA" localSheetId="15">Table3C.3_57TTS_PA[[#Totals],[Total Vehicles Traveling Within the Network]]</definedName>
    <definedName name="Traffic_57PA" localSheetId="18">Table3C.3_57TTS_PA[[#Totals],[Total Vehicles Traveling Within the Network]]</definedName>
    <definedName name="Traffic_57PA" localSheetId="20">Table3C.3_57TTS_PA[[#Totals],[Total Vehicles Traveling Within the Network]]</definedName>
    <definedName name="Traffic_57PA" localSheetId="21">Table3C.3_57TTS_PA[[#Totals],[Total Vehicles Traveling Within the Network]]</definedName>
    <definedName name="Traffic_57PA">Table3C.3_57TTS_PA[[#Totals],[Total Vehicles Traveling Within the Network]]</definedName>
    <definedName name="Truck_Travel">'Appendix A. Parameter Values'!$C$37</definedName>
    <definedName name="TTSB_27" localSheetId="26">Table3B.7_27Money[[#Totals],[Total Benefits, High (365 Days)]]</definedName>
    <definedName name="TTSB_27" localSheetId="17">Table3B.7_27Money[[#Totals],[Total Benefits, High (365 Days)]]</definedName>
    <definedName name="TTSB_27" localSheetId="15">Table3B.7_27Money[[#Totals],[Total Benefits, High (365 Days)]]</definedName>
    <definedName name="TTSB_27" localSheetId="18">Table3B.7_27Money[[#Totals],[Total Benefits, High (365 Days)]]</definedName>
    <definedName name="TTSB_27" localSheetId="20">Table3B.7_27Money[[#Totals],[Total Benefits, High (365 Days)]]</definedName>
    <definedName name="TTSB_27" localSheetId="21">Table3B.7_27Money[[#Totals],[Total Benefits, High (365 Days)]]</definedName>
    <definedName name="TTSB_27">Table3B.7_27Money[[#Totals],[Total Benefits, High (365 Days)]]</definedName>
    <definedName name="TTSB_57" localSheetId="26">Table3C.7_57TTSMoney[[#Totals],[Total Benefits, High (365 Days)]]</definedName>
    <definedName name="TTSB_57" localSheetId="17">Table3C.7_57TTSMoney[[#Totals],[Total Benefits, High (365 Days)]]</definedName>
    <definedName name="TTSB_57" localSheetId="15">Table3C.7_57TTSMoney[[#Totals],[Total Benefits, High (365 Days)]]</definedName>
    <definedName name="TTSB_57" localSheetId="18">Table3C.7_57TTSMoney[[#Totals],[Total Benefits, High (365 Days)]]</definedName>
    <definedName name="TTSB_57" localSheetId="20">Table3C.7_57TTSMoney[[#Totals],[Total Benefits, High (365 Days)]]</definedName>
    <definedName name="TTSB_57" localSheetId="21">Table3C.7_57TTSMoney[[#Totals],[Total Benefits, High (365 Days)]]</definedName>
    <definedName name="TTSB_57">Table3C.7_57TTSMoney[[#Totals],[Total Benefits, High (365 Days)]]</definedName>
    <definedName name="VHT_27NB" localSheetId="26">Table3B.3_27TTS_NB[[#Totals],[VHT: Total Time in Network (hr)]]</definedName>
    <definedName name="VHT_27NB" localSheetId="17">Table3B.3_27TTS_NB[[#Totals],[VHT: Total Time in Network (hr)]]</definedName>
    <definedName name="VHT_27NB" localSheetId="15">Table3B.3_27TTS_NB[[#Totals],[VHT: Total Time in Network (hr)]]</definedName>
    <definedName name="VHT_27NB" localSheetId="18">Table3B.3_27TTS_NB[[#Totals],[VHT: Total Time in Network (hr)]]</definedName>
    <definedName name="VHT_27NB" localSheetId="20">Table3B.3_27TTS_NB[[#Totals],[VHT: Total Time in Network (hr)]]</definedName>
    <definedName name="VHT_27NB" localSheetId="21">Table3B.3_27TTS_NB[[#Totals],[VHT: Total Time in Network (hr)]]</definedName>
    <definedName name="VHT_27NB">Table3B.3_27TTS_NB[[#Totals],[VHT: Total Time in Network (hr)]]</definedName>
    <definedName name="VHT_27PA" localSheetId="26">Table3B.5_27TTS_PA[[#Totals],[VHT: Total Time Within the Network (hr)]]</definedName>
    <definedName name="VHT_27PA" localSheetId="17">Table3B.5_27TTS_PA[[#Totals],[VHT: Total Time Within the Network (hr)]]</definedName>
    <definedName name="VHT_27PA" localSheetId="15">Table3B.5_27TTS_PA[[#Totals],[VHT: Total Time Within the Network (hr)]]</definedName>
    <definedName name="VHT_27PA" localSheetId="18">Table3B.5_27TTS_PA[[#Totals],[VHT: Total Time Within the Network (hr)]]</definedName>
    <definedName name="VHT_27PA" localSheetId="20">Table3B.5_27TTS_PA[[#Totals],[VHT: Total Time Within the Network (hr)]]</definedName>
    <definedName name="VHT_27PA" localSheetId="21">Table3B.5_27TTS_PA[[#Totals],[VHT: Total Time Within the Network (hr)]]</definedName>
    <definedName name="VHT_27PA">Table3B.5_27TTS_PA[[#Totals],[VHT: Total Time Within the Network (hr)]]</definedName>
    <definedName name="VHT_57NB" localSheetId="26">Table3C.1_57TTS_NB[[#Totals],[VHT: Total Time in Network (hr)]]</definedName>
    <definedName name="VHT_57NB" localSheetId="17">Table3C.1_57TTS_NB[[#Totals],[VHT: Total Time in Network (hr)]]</definedName>
    <definedName name="VHT_57NB" localSheetId="15">Table3C.1_57TTS_NB[[#Totals],[VHT: Total Time in Network (hr)]]</definedName>
    <definedName name="VHT_57NB" localSheetId="18">Table3C.1_57TTS_NB[[#Totals],[VHT: Total Time in Network (hr)]]</definedName>
    <definedName name="VHT_57NB" localSheetId="20">Table3C.1_57TTS_NB[[#Totals],[VHT: Total Time in Network (hr)]]</definedName>
    <definedName name="VHT_57NB" localSheetId="21">Table3C.1_57TTS_NB[[#Totals],[VHT: Total Time in Network (hr)]]</definedName>
    <definedName name="VHT_57NB">Table3C.1_57TTS_NB[[#Totals],[VHT: Total Time in Network (hr)]]</definedName>
    <definedName name="VHT_57PA" localSheetId="26">Table3C.3_57TTS_PA[[#Totals],[VHT: Total Time Within the Network (hr)]]</definedName>
    <definedName name="VHT_57PA" localSheetId="17">Table3C.3_57TTS_PA[[#Totals],[VHT: Total Time Within the Network (hr)]]</definedName>
    <definedName name="VHT_57PA" localSheetId="15">Table3C.3_57TTS_PA[[#Totals],[VHT: Total Time Within the Network (hr)]]</definedName>
    <definedName name="VHT_57PA" localSheetId="18">Table3C.3_57TTS_PA[[#Totals],[VHT: Total Time Within the Network (hr)]]</definedName>
    <definedName name="VHT_57PA" localSheetId="20">Table3C.3_57TTS_PA[[#Totals],[VHT: Total Time Within the Network (hr)]]</definedName>
    <definedName name="VHT_57PA" localSheetId="21">Table3C.3_57TTS_PA[[#Totals],[VHT: Total Time Within the Network (hr)]]</definedName>
    <definedName name="VHT_57PA">Table3C.3_57TTS_PA[[#Totals],[VHT: Total Time Within the Network (hr)]]</definedName>
    <definedName name="VHTChange_NB">'3. Travel Time Benefits'!$E$27</definedName>
    <definedName name="VHTChange_PA">'3. Travel Time Benefits'!$E$28</definedName>
    <definedName name="VMT_27NB" localSheetId="26">Table3B.3_27TTS_NB[[#Totals],[VMT: Total Path Distance (mi)]]</definedName>
    <definedName name="VMT_27NB" localSheetId="17">Table3B.3_27TTS_NB[[#Totals],[VMT: Total Path Distance (mi)]]</definedName>
    <definedName name="VMT_27NB" localSheetId="15">Table3B.3_27TTS_NB[[#Totals],[VMT: Total Path Distance (mi)]]</definedName>
    <definedName name="VMT_27NB" localSheetId="18">Table3B.3_27TTS_NB[[#Totals],[VMT: Total Path Distance (mi)]]</definedName>
    <definedName name="VMT_27NB" localSheetId="20">Table3B.3_27TTS_NB[[#Totals],[VMT: Total Path Distance (mi)]]</definedName>
    <definedName name="VMT_27NB" localSheetId="21">Table3B.3_27TTS_NB[[#Totals],[VMT: Total Path Distance (mi)]]</definedName>
    <definedName name="VMT_27NB">Table3B.3_27TTS_NB[[#Totals],[VMT: Total Path Distance (mi)]]</definedName>
    <definedName name="VMT_27PA" localSheetId="26">Table3B.5_27TTS_PA[[#Totals],[VMT: Total Path Distance (mi)]]</definedName>
    <definedName name="VMT_27PA" localSheetId="17">Table3B.5_27TTS_PA[[#Totals],[VMT: Total Path Distance (mi)]]</definedName>
    <definedName name="VMT_27PA" localSheetId="15">Table3B.5_27TTS_PA[[#Totals],[VMT: Total Path Distance (mi)]]</definedName>
    <definedName name="VMT_27PA" localSheetId="18">Table3B.5_27TTS_PA[[#Totals],[VMT: Total Path Distance (mi)]]</definedName>
    <definedName name="VMT_27PA" localSheetId="20">Table3B.5_27TTS_PA[[#Totals],[VMT: Total Path Distance (mi)]]</definedName>
    <definedName name="VMT_27PA" localSheetId="21">Table3B.5_27TTS_PA[[#Totals],[VMT: Total Path Distance (mi)]]</definedName>
    <definedName name="VMT_27PA">Table3B.5_27TTS_PA[[#Totals],[VMT: Total Path Distance (mi)]]</definedName>
    <definedName name="VMT_57NB" localSheetId="26">Table3C.1_57TTS_NB[[#Totals],[VMT: Total Path Distance (mi)]]</definedName>
    <definedName name="VMT_57NB" localSheetId="17">Table3C.1_57TTS_NB[[#Totals],[VMT: Total Path Distance (mi)]]</definedName>
    <definedName name="VMT_57NB" localSheetId="15">Table3C.1_57TTS_NB[[#Totals],[VMT: Total Path Distance (mi)]]</definedName>
    <definedName name="VMT_57NB" localSheetId="18">Table3C.1_57TTS_NB[[#Totals],[VMT: Total Path Distance (mi)]]</definedName>
    <definedName name="VMT_57NB" localSheetId="20">Table3C.1_57TTS_NB[[#Totals],[VMT: Total Path Distance (mi)]]</definedName>
    <definedName name="VMT_57NB" localSheetId="21">Table3C.1_57TTS_NB[[#Totals],[VMT: Total Path Distance (mi)]]</definedName>
    <definedName name="VMT_57NB">Table3C.1_57TTS_NB[[#Totals],[VMT: Total Path Distance (mi)]]</definedName>
    <definedName name="VMT_57PA" localSheetId="26">Table3C.3_57TTS_PA[[#Totals],[VMT: Total Path Distance (mi)]]</definedName>
    <definedName name="VMT_57PA" localSheetId="17">Table3C.3_57TTS_PA[[#Totals],[VMT: Total Path Distance (mi)]]</definedName>
    <definedName name="VMT_57PA" localSheetId="15">Table3C.3_57TTS_PA[[#Totals],[VMT: Total Path Distance (mi)]]</definedName>
    <definedName name="VMT_57PA" localSheetId="18">Table3C.3_57TTS_PA[[#Totals],[VMT: Total Path Distance (mi)]]</definedName>
    <definedName name="VMT_57PA" localSheetId="20">Table3C.3_57TTS_PA[[#Totals],[VMT: Total Path Distance (mi)]]</definedName>
    <definedName name="VMT_57PA" localSheetId="21">Table3C.3_57TTS_PA[[#Totals],[VMT: Total Path Distance (mi)]]</definedName>
    <definedName name="VMT_57PA">Table3C.3_57TTS_PA[[#Totals],[VMT: Total Path Distance (mi)]]</definedName>
    <definedName name="VMTChange_NB">'3. Travel Time Benefits'!$D$27</definedName>
    <definedName name="VMTChange_PA">'3. Travel Time Benefits'!$D$28</definedName>
    <definedName name="Years_All" localSheetId="26">Table39[Year]</definedName>
    <definedName name="Years_All" localSheetId="17">Table39[Year]</definedName>
    <definedName name="Years_All" localSheetId="15">Table39[Year]</definedName>
    <definedName name="Years_All" localSheetId="18">Table39[Year]</definedName>
    <definedName name="Years_All" localSheetId="20">Table39[Year]</definedName>
    <definedName name="Years_All" localSheetId="21">Table39[Year]</definedName>
    <definedName name="Years_All">Table39[Year]</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85" i="14" l="1"/>
  <c r="E85" i="14"/>
  <c r="G15" i="14"/>
  <c r="E58" i="26" s="1"/>
  <c r="E12" i="9" l="1"/>
  <c r="E16" i="9"/>
  <c r="D16" i="9" s="1"/>
  <c r="E15" i="9"/>
  <c r="D15" i="9" s="1"/>
  <c r="E130" i="4"/>
  <c r="E59" i="4"/>
  <c r="E43" i="4"/>
  <c r="E27" i="4"/>
  <c r="G130" i="4"/>
  <c r="D21" i="36" a="1"/>
  <c r="D21" i="36" s="1"/>
  <c r="E14" i="36"/>
  <c r="C21" i="10"/>
  <c r="F18" i="4"/>
  <c r="F19" i="4"/>
  <c r="F20" i="4"/>
  <c r="F21" i="4"/>
  <c r="F22" i="4"/>
  <c r="F23" i="4"/>
  <c r="F24" i="4"/>
  <c r="F25" i="4"/>
  <c r="F26" i="4"/>
  <c r="F22" i="49"/>
  <c r="H18" i="26" s="1"/>
  <c r="F19" i="49"/>
  <c r="F18" i="49"/>
  <c r="F21" i="49" s="1"/>
  <c r="F17" i="49"/>
  <c r="D39" i="4" l="1"/>
  <c r="D23" i="4"/>
  <c r="F19" i="26"/>
  <c r="F20" i="26"/>
  <c r="F21" i="26"/>
  <c r="F22" i="26"/>
  <c r="F23" i="26"/>
  <c r="F24" i="26"/>
  <c r="F25" i="26"/>
  <c r="F26" i="26"/>
  <c r="F27" i="26"/>
  <c r="F28" i="26"/>
  <c r="F29" i="26"/>
  <c r="F30" i="26"/>
  <c r="F31" i="26"/>
  <c r="F32" i="26"/>
  <c r="F33" i="26"/>
  <c r="F34" i="26"/>
  <c r="F35" i="26"/>
  <c r="F36" i="26"/>
  <c r="F37" i="26"/>
  <c r="F38" i="26"/>
  <c r="F39" i="26"/>
  <c r="F40" i="26"/>
  <c r="F41" i="26"/>
  <c r="F42" i="26"/>
  <c r="F43" i="26"/>
  <c r="F44" i="26"/>
  <c r="F45" i="26"/>
  <c r="F46" i="26"/>
  <c r="F47" i="26"/>
  <c r="D71" i="43"/>
  <c r="D72" i="43"/>
  <c r="F18" i="26" l="1"/>
  <c r="F17" i="26"/>
  <c r="F16" i="49"/>
  <c r="B3" i="49"/>
  <c r="B2" i="49"/>
  <c r="C16" i="49" l="1"/>
  <c r="I33" i="6" l="1"/>
  <c r="I46" i="26"/>
  <c r="I45" i="26"/>
  <c r="I44" i="26"/>
  <c r="I43" i="26"/>
  <c r="I42" i="26"/>
  <c r="I41" i="26"/>
  <c r="I40" i="26"/>
  <c r="I39" i="26"/>
  <c r="I38" i="26"/>
  <c r="I37" i="26"/>
  <c r="I36" i="26"/>
  <c r="I35" i="26"/>
  <c r="I34" i="26"/>
  <c r="I33" i="26"/>
  <c r="I32" i="26"/>
  <c r="I31" i="26"/>
  <c r="I30" i="26"/>
  <c r="I29" i="26"/>
  <c r="I28" i="26"/>
  <c r="I27" i="26"/>
  <c r="I26" i="26"/>
  <c r="I25" i="26"/>
  <c r="I24" i="26"/>
  <c r="I23" i="26"/>
  <c r="I22" i="26"/>
  <c r="I21" i="26"/>
  <c r="I20" i="26"/>
  <c r="I19" i="26"/>
  <c r="I18" i="26"/>
  <c r="D12" i="9"/>
  <c r="E27" i="9"/>
  <c r="F71" i="43"/>
  <c r="D61" i="43" l="1"/>
  <c r="F61" i="43" s="1"/>
  <c r="D60" i="43"/>
  <c r="F60" i="43" s="1"/>
  <c r="D59" i="43"/>
  <c r="F59" i="43" s="1"/>
  <c r="F72" i="43"/>
  <c r="F62" i="43"/>
  <c r="F58" i="43"/>
  <c r="F49" i="43"/>
  <c r="D69" i="14"/>
  <c r="G69" i="14"/>
  <c r="D70" i="14"/>
  <c r="G70" i="14"/>
  <c r="D71" i="14"/>
  <c r="G71" i="14"/>
  <c r="D72" i="14"/>
  <c r="G72" i="14"/>
  <c r="D73" i="14"/>
  <c r="G73" i="14"/>
  <c r="D74" i="14"/>
  <c r="G74" i="14"/>
  <c r="D75" i="14"/>
  <c r="G75" i="14"/>
  <c r="D76" i="14"/>
  <c r="G76" i="14"/>
  <c r="D77" i="14"/>
  <c r="G77" i="14"/>
  <c r="D78" i="14"/>
  <c r="G78" i="14"/>
  <c r="D79" i="14"/>
  <c r="G79" i="14"/>
  <c r="D80" i="14"/>
  <c r="G80" i="14"/>
  <c r="D81" i="14"/>
  <c r="G81" i="14"/>
  <c r="D82" i="14"/>
  <c r="G82" i="14"/>
  <c r="D83" i="14"/>
  <c r="G83" i="14"/>
  <c r="D84" i="14"/>
  <c r="G84" i="14"/>
  <c r="F63" i="43" l="1"/>
  <c r="F64" i="43" s="1"/>
  <c r="F65" i="43" s="1"/>
  <c r="E13" i="9" s="1"/>
  <c r="D13" i="9" s="1"/>
  <c r="F73" i="43"/>
  <c r="F50" i="43"/>
  <c r="F74" i="43" l="1"/>
  <c r="F76" i="43" s="1"/>
  <c r="E11" i="9" s="1"/>
  <c r="D11" i="9" s="1"/>
  <c r="F51" i="43"/>
  <c r="F53" i="43" s="1"/>
  <c r="E23" i="9" s="1"/>
  <c r="G17" i="26" s="1"/>
  <c r="D31" i="42" l="1"/>
  <c r="I33" i="40"/>
  <c r="I32" i="40"/>
  <c r="K44" i="26" l="1"/>
  <c r="L44" i="26"/>
  <c r="K45" i="26"/>
  <c r="L45" i="26"/>
  <c r="K46" i="26"/>
  <c r="L46" i="26"/>
  <c r="I47" i="26"/>
  <c r="K47" i="26"/>
  <c r="L47" i="26"/>
  <c r="E17" i="9" l="1"/>
  <c r="D17" i="9" s="1"/>
  <c r="D29" i="43"/>
  <c r="D27" i="43"/>
  <c r="D28" i="43"/>
  <c r="F26" i="43" l="1"/>
  <c r="F27" i="43"/>
  <c r="F28" i="43"/>
  <c r="F29" i="43"/>
  <c r="C105" i="17"/>
  <c r="D105" i="17"/>
  <c r="E105" i="17"/>
  <c r="F105" i="17"/>
  <c r="G105" i="17"/>
  <c r="H105" i="17"/>
  <c r="C106" i="17"/>
  <c r="D106" i="17"/>
  <c r="E106" i="17"/>
  <c r="F106" i="17"/>
  <c r="G106" i="17"/>
  <c r="H106" i="17"/>
  <c r="C107" i="17"/>
  <c r="D107" i="17"/>
  <c r="E107" i="17"/>
  <c r="F107" i="17"/>
  <c r="G107" i="17"/>
  <c r="H107" i="17"/>
  <c r="C108" i="17"/>
  <c r="D108" i="17"/>
  <c r="E108" i="17"/>
  <c r="F108" i="17"/>
  <c r="G108" i="17"/>
  <c r="H108" i="17"/>
  <c r="C109" i="17"/>
  <c r="D109" i="17"/>
  <c r="E109" i="17"/>
  <c r="F109" i="17"/>
  <c r="G109" i="17"/>
  <c r="H109" i="17"/>
  <c r="C110" i="17"/>
  <c r="D110" i="17"/>
  <c r="E110" i="17"/>
  <c r="F110" i="17"/>
  <c r="G110" i="17"/>
  <c r="H110" i="17"/>
  <c r="C111" i="17"/>
  <c r="D111" i="17"/>
  <c r="E111" i="17"/>
  <c r="F111" i="17"/>
  <c r="G111" i="17"/>
  <c r="H111" i="17"/>
  <c r="C112" i="17"/>
  <c r="D112" i="17"/>
  <c r="E112" i="17"/>
  <c r="F112" i="17"/>
  <c r="G112" i="17"/>
  <c r="H112" i="17"/>
  <c r="C113" i="17"/>
  <c r="D113" i="17"/>
  <c r="E113" i="17"/>
  <c r="F113" i="17"/>
  <c r="G113" i="17"/>
  <c r="H113" i="17"/>
  <c r="C114" i="17"/>
  <c r="D114" i="17"/>
  <c r="E114" i="17"/>
  <c r="F114" i="17"/>
  <c r="G114" i="17"/>
  <c r="H114" i="17"/>
  <c r="C115" i="17"/>
  <c r="D115" i="17"/>
  <c r="E115" i="17"/>
  <c r="F115" i="17"/>
  <c r="G115" i="17"/>
  <c r="H115" i="17"/>
  <c r="C116" i="17"/>
  <c r="D116" i="17"/>
  <c r="E116" i="17"/>
  <c r="F116" i="17"/>
  <c r="G116" i="17"/>
  <c r="H116" i="17"/>
  <c r="C117" i="17"/>
  <c r="D117" i="17"/>
  <c r="E117" i="17"/>
  <c r="F117" i="17"/>
  <c r="G117" i="17"/>
  <c r="H117" i="17"/>
  <c r="C118" i="17"/>
  <c r="D118" i="17"/>
  <c r="E118" i="17"/>
  <c r="F118" i="17"/>
  <c r="G118" i="17"/>
  <c r="H118" i="17"/>
  <c r="C119" i="17"/>
  <c r="D119" i="17"/>
  <c r="E119" i="17"/>
  <c r="F119" i="17"/>
  <c r="G119" i="17"/>
  <c r="H119" i="17"/>
  <c r="C120" i="17"/>
  <c r="D120" i="17"/>
  <c r="E120" i="17"/>
  <c r="F120" i="17"/>
  <c r="G120" i="17"/>
  <c r="H120" i="17"/>
  <c r="C121" i="17"/>
  <c r="D121" i="17"/>
  <c r="E121" i="17"/>
  <c r="F121" i="17"/>
  <c r="G121" i="17"/>
  <c r="H121" i="17"/>
  <c r="C122" i="17"/>
  <c r="D122" i="17"/>
  <c r="E122" i="17"/>
  <c r="F122" i="17"/>
  <c r="G122" i="17"/>
  <c r="H122" i="17"/>
  <c r="C123" i="17"/>
  <c r="D123" i="17"/>
  <c r="E123" i="17"/>
  <c r="F123" i="17"/>
  <c r="G123" i="17"/>
  <c r="H123" i="17"/>
  <c r="C124" i="17"/>
  <c r="D124" i="17"/>
  <c r="E124" i="17"/>
  <c r="F124" i="17"/>
  <c r="G124" i="17"/>
  <c r="H124" i="17"/>
  <c r="C125" i="17"/>
  <c r="D125" i="17"/>
  <c r="E125" i="17"/>
  <c r="F125" i="17"/>
  <c r="G125" i="17"/>
  <c r="H125" i="17"/>
  <c r="C126" i="17"/>
  <c r="D126" i="17"/>
  <c r="E126" i="17"/>
  <c r="F126" i="17"/>
  <c r="G126" i="17"/>
  <c r="H126" i="17"/>
  <c r="C127" i="17"/>
  <c r="D127" i="17"/>
  <c r="E127" i="17"/>
  <c r="F127" i="17"/>
  <c r="G127" i="17"/>
  <c r="H127" i="17"/>
  <c r="C128" i="17"/>
  <c r="D128" i="17"/>
  <c r="E128" i="17"/>
  <c r="F128" i="17"/>
  <c r="G128" i="17"/>
  <c r="H128" i="17"/>
  <c r="C129" i="17"/>
  <c r="D129" i="17"/>
  <c r="E129" i="17"/>
  <c r="F129" i="17"/>
  <c r="G129" i="17"/>
  <c r="H129" i="17"/>
  <c r="C130" i="17"/>
  <c r="D130" i="17"/>
  <c r="E130" i="17"/>
  <c r="F130" i="17"/>
  <c r="G130" i="17"/>
  <c r="H130" i="17"/>
  <c r="C131" i="17"/>
  <c r="D131" i="17"/>
  <c r="E131" i="17"/>
  <c r="F131" i="17"/>
  <c r="G131" i="17"/>
  <c r="H131" i="17"/>
  <c r="C132" i="17"/>
  <c r="D132" i="17"/>
  <c r="E132" i="17"/>
  <c r="F132" i="17"/>
  <c r="G132" i="17"/>
  <c r="H132" i="17"/>
  <c r="C133" i="17"/>
  <c r="D133" i="17"/>
  <c r="E133" i="17"/>
  <c r="F133" i="17"/>
  <c r="G133" i="17"/>
  <c r="H133" i="17"/>
  <c r="C134" i="17"/>
  <c r="D134" i="17"/>
  <c r="E134" i="17"/>
  <c r="F134" i="17"/>
  <c r="G134" i="17"/>
  <c r="H134" i="17"/>
  <c r="I130" i="17"/>
  <c r="H81" i="17"/>
  <c r="C65" i="17"/>
  <c r="D65" i="17"/>
  <c r="E65" i="17"/>
  <c r="E66" i="17" s="1"/>
  <c r="E67" i="17" s="1"/>
  <c r="E68" i="17" s="1"/>
  <c r="E69" i="17" s="1"/>
  <c r="E70" i="17" s="1"/>
  <c r="E71" i="17" s="1"/>
  <c r="E72" i="17" s="1"/>
  <c r="E73" i="17" s="1"/>
  <c r="E74" i="17" s="1"/>
  <c r="E75" i="17" s="1"/>
  <c r="E76" i="17" s="1"/>
  <c r="E77" i="17" s="1"/>
  <c r="E78" i="17" s="1"/>
  <c r="E79" i="17" s="1"/>
  <c r="E80" i="17" s="1"/>
  <c r="E81" i="17" s="1"/>
  <c r="E82" i="17" s="1"/>
  <c r="E83" i="17" s="1"/>
  <c r="E84" i="17" s="1"/>
  <c r="E85" i="17" s="1"/>
  <c r="E86" i="17" s="1"/>
  <c r="E87" i="17" s="1"/>
  <c r="E88" i="17" s="1"/>
  <c r="E89" i="17" s="1"/>
  <c r="E90" i="17" s="1"/>
  <c r="E91" i="17" s="1"/>
  <c r="E92" i="17" s="1"/>
  <c r="F65" i="17"/>
  <c r="F66" i="17" s="1"/>
  <c r="F67" i="17" s="1"/>
  <c r="F68" i="17" s="1"/>
  <c r="F69" i="17" s="1"/>
  <c r="F70" i="17" s="1"/>
  <c r="F71" i="17" s="1"/>
  <c r="F72" i="17" s="1"/>
  <c r="F73" i="17" s="1"/>
  <c r="F74" i="17" s="1"/>
  <c r="F75" i="17" s="1"/>
  <c r="F76" i="17" s="1"/>
  <c r="F77" i="17" s="1"/>
  <c r="F78" i="17" s="1"/>
  <c r="F79" i="17" s="1"/>
  <c r="F80" i="17" s="1"/>
  <c r="F81" i="17" s="1"/>
  <c r="F82" i="17" s="1"/>
  <c r="F83" i="17" s="1"/>
  <c r="F84" i="17" s="1"/>
  <c r="F85" i="17" s="1"/>
  <c r="F86" i="17" s="1"/>
  <c r="F87" i="17" s="1"/>
  <c r="F88" i="17" s="1"/>
  <c r="F89" i="17" s="1"/>
  <c r="F90" i="17" s="1"/>
  <c r="F91" i="17" s="1"/>
  <c r="F92" i="17" s="1"/>
  <c r="G65" i="17"/>
  <c r="G66" i="17" s="1"/>
  <c r="G67" i="17" s="1"/>
  <c r="G68" i="17" s="1"/>
  <c r="G69" i="17" s="1"/>
  <c r="G70" i="17" s="1"/>
  <c r="G71" i="17" s="1"/>
  <c r="G72" i="17" s="1"/>
  <c r="G73" i="17" s="1"/>
  <c r="G74" i="17" s="1"/>
  <c r="G75" i="17" s="1"/>
  <c r="G76" i="17" s="1"/>
  <c r="G77" i="17" s="1"/>
  <c r="G78" i="17" s="1"/>
  <c r="G79" i="17" s="1"/>
  <c r="G80" i="17" s="1"/>
  <c r="G81" i="17" s="1"/>
  <c r="G82" i="17" s="1"/>
  <c r="G83" i="17" s="1"/>
  <c r="G84" i="17" s="1"/>
  <c r="G85" i="17" s="1"/>
  <c r="G86" i="17" s="1"/>
  <c r="G87" i="17" s="1"/>
  <c r="G88" i="17" s="1"/>
  <c r="G89" i="17" s="1"/>
  <c r="G90" i="17" s="1"/>
  <c r="G91" i="17" s="1"/>
  <c r="G92" i="17" s="1"/>
  <c r="H65" i="17"/>
  <c r="H66" i="17" s="1"/>
  <c r="H67" i="17" s="1"/>
  <c r="H68" i="17" s="1"/>
  <c r="H69" i="17" s="1"/>
  <c r="H70" i="17" s="1"/>
  <c r="H71" i="17" s="1"/>
  <c r="H72" i="17" s="1"/>
  <c r="H73" i="17" s="1"/>
  <c r="H74" i="17" s="1"/>
  <c r="H75" i="17" s="1"/>
  <c r="H76" i="17" s="1"/>
  <c r="H77" i="17" s="1"/>
  <c r="H78" i="17" s="1"/>
  <c r="H79" i="17" s="1"/>
  <c r="H80" i="17" s="1"/>
  <c r="H82" i="17" s="1"/>
  <c r="H83" i="17" s="1"/>
  <c r="H84" i="17" s="1"/>
  <c r="H85" i="17" s="1"/>
  <c r="H86" i="17" s="1"/>
  <c r="H87" i="17" s="1"/>
  <c r="H88" i="17" s="1"/>
  <c r="H89" i="17" s="1"/>
  <c r="H90" i="17" s="1"/>
  <c r="H91" i="17" s="1"/>
  <c r="H92" i="17" s="1"/>
  <c r="C66" i="17"/>
  <c r="C67" i="17" s="1"/>
  <c r="C68" i="17" s="1"/>
  <c r="C69" i="17" s="1"/>
  <c r="C70" i="17" s="1"/>
  <c r="C71" i="17" s="1"/>
  <c r="C72" i="17" s="1"/>
  <c r="C73" i="17" s="1"/>
  <c r="C74" i="17" s="1"/>
  <c r="C75" i="17" s="1"/>
  <c r="C76" i="17" s="1"/>
  <c r="C77" i="17" s="1"/>
  <c r="C78" i="17" s="1"/>
  <c r="C79" i="17" s="1"/>
  <c r="C80" i="17" s="1"/>
  <c r="C81" i="17" s="1"/>
  <c r="C82" i="17" s="1"/>
  <c r="C83" i="17" s="1"/>
  <c r="C84" i="17" s="1"/>
  <c r="C85" i="17" s="1"/>
  <c r="C86" i="17" s="1"/>
  <c r="C87" i="17" s="1"/>
  <c r="C88" i="17" s="1"/>
  <c r="C89" i="17" s="1"/>
  <c r="C90" i="17" s="1"/>
  <c r="C91" i="17" s="1"/>
  <c r="C92" i="17" s="1"/>
  <c r="D66" i="17"/>
  <c r="D67" i="17" s="1"/>
  <c r="D68" i="17" s="1"/>
  <c r="D69" i="17" s="1"/>
  <c r="D70" i="17" s="1"/>
  <c r="D71" i="17" s="1"/>
  <c r="D72" i="17" s="1"/>
  <c r="D73" i="17" s="1"/>
  <c r="D74" i="17" s="1"/>
  <c r="D75" i="17" s="1"/>
  <c r="D76" i="17" s="1"/>
  <c r="D77" i="17" s="1"/>
  <c r="D78" i="17" s="1"/>
  <c r="D79" i="17" s="1"/>
  <c r="D80" i="17" s="1"/>
  <c r="D81" i="17" s="1"/>
  <c r="D82" i="17" s="1"/>
  <c r="D83" i="17" s="1"/>
  <c r="D84" i="17" s="1"/>
  <c r="D85" i="17" s="1"/>
  <c r="D86" i="17" s="1"/>
  <c r="D87" i="17" s="1"/>
  <c r="D88" i="17" s="1"/>
  <c r="D89" i="17" s="1"/>
  <c r="D90" i="17" s="1"/>
  <c r="D91" i="17" s="1"/>
  <c r="D92" i="17" s="1"/>
  <c r="H64" i="17"/>
  <c r="G64" i="17"/>
  <c r="F64" i="17"/>
  <c r="E64" i="17"/>
  <c r="D64" i="17"/>
  <c r="C64" i="17"/>
  <c r="I17" i="17"/>
  <c r="I18" i="17"/>
  <c r="I19" i="17"/>
  <c r="I20" i="17"/>
  <c r="I21" i="17"/>
  <c r="I22" i="17"/>
  <c r="I23" i="17"/>
  <c r="I24" i="17"/>
  <c r="I25" i="17"/>
  <c r="I26" i="17"/>
  <c r="I27" i="17"/>
  <c r="I28" i="17"/>
  <c r="I29" i="17"/>
  <c r="I30" i="17"/>
  <c r="I31" i="17"/>
  <c r="I32" i="17"/>
  <c r="I33" i="17"/>
  <c r="I34" i="17"/>
  <c r="I35" i="17"/>
  <c r="I36" i="17"/>
  <c r="I37" i="17"/>
  <c r="I38" i="17"/>
  <c r="I39" i="17"/>
  <c r="I40" i="17"/>
  <c r="I41" i="17"/>
  <c r="I42" i="17"/>
  <c r="I43" i="17"/>
  <c r="I44" i="17"/>
  <c r="I45" i="17"/>
  <c r="I46" i="17"/>
  <c r="I47" i="17"/>
  <c r="I48" i="17"/>
  <c r="I49" i="17"/>
  <c r="I50" i="17"/>
  <c r="I51" i="17"/>
  <c r="I52" i="17"/>
  <c r="G24" i="17"/>
  <c r="G25" i="17" s="1"/>
  <c r="G26" i="17" s="1"/>
  <c r="G27" i="17" s="1"/>
  <c r="G28" i="17" s="1"/>
  <c r="G29" i="17" s="1"/>
  <c r="G30" i="17" s="1"/>
  <c r="G31" i="17" s="1"/>
  <c r="G32" i="17" s="1"/>
  <c r="G33" i="17" s="1"/>
  <c r="G34" i="17" s="1"/>
  <c r="G35" i="17" s="1"/>
  <c r="G36" i="17" s="1"/>
  <c r="G37" i="17" s="1"/>
  <c r="G38" i="17" s="1"/>
  <c r="G39" i="17" s="1"/>
  <c r="G40" i="17" s="1"/>
  <c r="G41" i="17" s="1"/>
  <c r="G42" i="17" s="1"/>
  <c r="G43" i="17" s="1"/>
  <c r="G44" i="17" s="1"/>
  <c r="G45" i="17" s="1"/>
  <c r="G46" i="17" s="1"/>
  <c r="G47" i="17" s="1"/>
  <c r="G48" i="17" s="1"/>
  <c r="G49" i="17" s="1"/>
  <c r="G50" i="17" s="1"/>
  <c r="G51" i="17" s="1"/>
  <c r="H24" i="17"/>
  <c r="H25" i="17" s="1"/>
  <c r="H26" i="17" s="1"/>
  <c r="H27" i="17" s="1"/>
  <c r="H28" i="17" s="1"/>
  <c r="H29" i="17" s="1"/>
  <c r="H30" i="17" s="1"/>
  <c r="H31" i="17" s="1"/>
  <c r="H32" i="17" s="1"/>
  <c r="H33" i="17" s="1"/>
  <c r="H34" i="17" s="1"/>
  <c r="H35" i="17" s="1"/>
  <c r="H36" i="17" s="1"/>
  <c r="H37" i="17" s="1"/>
  <c r="H38" i="17" s="1"/>
  <c r="H39" i="17" s="1"/>
  <c r="H40" i="17" s="1"/>
  <c r="H41" i="17" s="1"/>
  <c r="H42" i="17" s="1"/>
  <c r="H43" i="17" s="1"/>
  <c r="H44" i="17" s="1"/>
  <c r="H45" i="17" s="1"/>
  <c r="H46" i="17" s="1"/>
  <c r="H47" i="17" s="1"/>
  <c r="H48" i="17" s="1"/>
  <c r="H49" i="17" s="1"/>
  <c r="H50" i="17" s="1"/>
  <c r="H51" i="17" s="1"/>
  <c r="H23" i="17"/>
  <c r="G23" i="17"/>
  <c r="F23" i="17"/>
  <c r="F24" i="17" s="1"/>
  <c r="F25" i="17" s="1"/>
  <c r="F26" i="17" s="1"/>
  <c r="F27" i="17" s="1"/>
  <c r="F28" i="17" s="1"/>
  <c r="F29" i="17" s="1"/>
  <c r="F30" i="17" s="1"/>
  <c r="F31" i="17" s="1"/>
  <c r="F32" i="17" s="1"/>
  <c r="F33" i="17" s="1"/>
  <c r="F34" i="17" s="1"/>
  <c r="F35" i="17" s="1"/>
  <c r="F36" i="17" s="1"/>
  <c r="F37" i="17" s="1"/>
  <c r="F38" i="17" s="1"/>
  <c r="F39" i="17" s="1"/>
  <c r="F40" i="17" s="1"/>
  <c r="F41" i="17" s="1"/>
  <c r="F42" i="17" s="1"/>
  <c r="F43" i="17" s="1"/>
  <c r="F44" i="17" s="1"/>
  <c r="F45" i="17" s="1"/>
  <c r="F46" i="17" s="1"/>
  <c r="F47" i="17" s="1"/>
  <c r="F48" i="17" s="1"/>
  <c r="F49" i="17" s="1"/>
  <c r="F50" i="17" s="1"/>
  <c r="F51" i="17" s="1"/>
  <c r="E23" i="17"/>
  <c r="E24" i="17" s="1"/>
  <c r="E25" i="17" s="1"/>
  <c r="E26" i="17" s="1"/>
  <c r="E27" i="17" s="1"/>
  <c r="E28" i="17" s="1"/>
  <c r="E29" i="17" s="1"/>
  <c r="E30" i="17" s="1"/>
  <c r="E31" i="17" s="1"/>
  <c r="E32" i="17" s="1"/>
  <c r="E33" i="17" s="1"/>
  <c r="E34" i="17" s="1"/>
  <c r="E35" i="17" s="1"/>
  <c r="E36" i="17" s="1"/>
  <c r="E37" i="17" s="1"/>
  <c r="E38" i="17" s="1"/>
  <c r="E39" i="17" s="1"/>
  <c r="E40" i="17" s="1"/>
  <c r="E41" i="17" s="1"/>
  <c r="E42" i="17" s="1"/>
  <c r="E43" i="17" s="1"/>
  <c r="E44" i="17" s="1"/>
  <c r="E45" i="17" s="1"/>
  <c r="E46" i="17" s="1"/>
  <c r="E47" i="17" s="1"/>
  <c r="E48" i="17" s="1"/>
  <c r="E49" i="17" s="1"/>
  <c r="E50" i="17" s="1"/>
  <c r="E51" i="17" s="1"/>
  <c r="D23" i="17"/>
  <c r="D24" i="17" s="1"/>
  <c r="D25" i="17" s="1"/>
  <c r="D26" i="17" s="1"/>
  <c r="D27" i="17" s="1"/>
  <c r="D28" i="17" s="1"/>
  <c r="D29" i="17" s="1"/>
  <c r="D30" i="17" s="1"/>
  <c r="D31" i="17" s="1"/>
  <c r="D32" i="17" s="1"/>
  <c r="D33" i="17" s="1"/>
  <c r="D34" i="17" s="1"/>
  <c r="D35" i="17" s="1"/>
  <c r="D36" i="17" s="1"/>
  <c r="D37" i="17" s="1"/>
  <c r="D38" i="17" s="1"/>
  <c r="D39" i="17" s="1"/>
  <c r="D40" i="17" s="1"/>
  <c r="D41" i="17" s="1"/>
  <c r="D42" i="17" s="1"/>
  <c r="D43" i="17" s="1"/>
  <c r="D44" i="17" s="1"/>
  <c r="D45" i="17" s="1"/>
  <c r="D46" i="17" s="1"/>
  <c r="D47" i="17" s="1"/>
  <c r="D48" i="17" s="1"/>
  <c r="D49" i="17" s="1"/>
  <c r="D50" i="17" s="1"/>
  <c r="D51" i="17" s="1"/>
  <c r="C23" i="17"/>
  <c r="C24" i="17" s="1"/>
  <c r="C25" i="17" s="1"/>
  <c r="C26" i="17" s="1"/>
  <c r="C27" i="17" s="1"/>
  <c r="C28" i="17" s="1"/>
  <c r="C29" i="17" s="1"/>
  <c r="C30" i="17" s="1"/>
  <c r="C31" i="17" s="1"/>
  <c r="C32" i="17" s="1"/>
  <c r="C33" i="17" s="1"/>
  <c r="C34" i="17" s="1"/>
  <c r="C35" i="17" s="1"/>
  <c r="C36" i="17" s="1"/>
  <c r="C37" i="17" s="1"/>
  <c r="C38" i="17" s="1"/>
  <c r="C39" i="17" s="1"/>
  <c r="C40" i="17" s="1"/>
  <c r="C41" i="17" s="1"/>
  <c r="C42" i="17" s="1"/>
  <c r="C43" i="17" s="1"/>
  <c r="C44" i="17" s="1"/>
  <c r="C45" i="17" s="1"/>
  <c r="C46" i="17" s="1"/>
  <c r="C47" i="17" s="1"/>
  <c r="C48" i="17" s="1"/>
  <c r="C49" i="17" s="1"/>
  <c r="C50" i="17" s="1"/>
  <c r="C51" i="17" s="1"/>
  <c r="I58" i="17"/>
  <c r="I59" i="17"/>
  <c r="I60" i="17"/>
  <c r="I61" i="17"/>
  <c r="I62" i="17"/>
  <c r="I63" i="17"/>
  <c r="I93" i="17"/>
  <c r="B17" i="17"/>
  <c r="B18" i="17"/>
  <c r="B19" i="17"/>
  <c r="B20" i="17"/>
  <c r="B21" i="17"/>
  <c r="F34" i="4" l="1"/>
  <c r="G34" i="4"/>
  <c r="F35" i="4"/>
  <c r="H35" i="4" s="1"/>
  <c r="G35" i="4"/>
  <c r="F36" i="4"/>
  <c r="G36" i="4"/>
  <c r="F37" i="4"/>
  <c r="H37" i="4" s="1"/>
  <c r="G37" i="4"/>
  <c r="F38" i="4"/>
  <c r="G38" i="4"/>
  <c r="F39" i="4"/>
  <c r="H39" i="4" s="1"/>
  <c r="G39" i="4"/>
  <c r="D40" i="4"/>
  <c r="F40" i="4" s="1"/>
  <c r="G40" i="4"/>
  <c r="H40" i="4" s="1"/>
  <c r="D41" i="4"/>
  <c r="F41" i="4" s="1"/>
  <c r="H41" i="4" s="1"/>
  <c r="G41" i="4"/>
  <c r="D42" i="4"/>
  <c r="F42" i="4" s="1"/>
  <c r="G42" i="4"/>
  <c r="H42" i="4" s="1"/>
  <c r="C43" i="4"/>
  <c r="F50" i="4"/>
  <c r="H50" i="4" s="1"/>
  <c r="G50" i="4"/>
  <c r="F51" i="4"/>
  <c r="G51" i="4"/>
  <c r="F52" i="4"/>
  <c r="H52" i="4" s="1"/>
  <c r="G52" i="4"/>
  <c r="F53" i="4"/>
  <c r="G53" i="4"/>
  <c r="F54" i="4"/>
  <c r="H54" i="4" s="1"/>
  <c r="G54" i="4"/>
  <c r="D55" i="4"/>
  <c r="F55" i="4" s="1"/>
  <c r="G55" i="4"/>
  <c r="D56" i="4"/>
  <c r="F56" i="4"/>
  <c r="G56" i="4"/>
  <c r="H56" i="4"/>
  <c r="D57" i="4"/>
  <c r="F57" i="4"/>
  <c r="G57" i="4"/>
  <c r="H57" i="4" s="1"/>
  <c r="D58" i="4"/>
  <c r="F58" i="4"/>
  <c r="G58" i="4"/>
  <c r="H58" i="4"/>
  <c r="C59" i="4"/>
  <c r="F66" i="4"/>
  <c r="G66" i="4"/>
  <c r="F67" i="4"/>
  <c r="G67" i="4"/>
  <c r="F68" i="4"/>
  <c r="G68" i="4"/>
  <c r="F69" i="4"/>
  <c r="G69" i="4"/>
  <c r="F70" i="4"/>
  <c r="G70" i="4"/>
  <c r="F71" i="4"/>
  <c r="G71" i="4"/>
  <c r="F72" i="4"/>
  <c r="G72" i="4"/>
  <c r="F73" i="4"/>
  <c r="G73" i="4"/>
  <c r="F74" i="4"/>
  <c r="G74" i="4"/>
  <c r="C75" i="4"/>
  <c r="D75" i="4"/>
  <c r="E75" i="4"/>
  <c r="F82" i="4"/>
  <c r="G82" i="4"/>
  <c r="H82" i="4" s="1"/>
  <c r="F83" i="4"/>
  <c r="G83" i="4"/>
  <c r="F84" i="4"/>
  <c r="G84" i="4"/>
  <c r="F85" i="4"/>
  <c r="G85" i="4"/>
  <c r="F86" i="4"/>
  <c r="G86" i="4"/>
  <c r="H86" i="4" s="1"/>
  <c r="F87" i="4"/>
  <c r="G87" i="4"/>
  <c r="F88" i="4"/>
  <c r="G88" i="4"/>
  <c r="F89" i="4"/>
  <c r="G89" i="4"/>
  <c r="F90" i="4"/>
  <c r="G90" i="4"/>
  <c r="H90" i="4" s="1"/>
  <c r="C91" i="4"/>
  <c r="E91" i="4"/>
  <c r="D24" i="4"/>
  <c r="D25" i="4"/>
  <c r="D26" i="4"/>
  <c r="F62" i="14"/>
  <c r="H17" i="18"/>
  <c r="H18" i="18"/>
  <c r="H19" i="18"/>
  <c r="H20" i="18"/>
  <c r="H21" i="18"/>
  <c r="H22" i="18"/>
  <c r="H23" i="18"/>
  <c r="H24" i="18"/>
  <c r="H25" i="18"/>
  <c r="H26" i="18"/>
  <c r="H27" i="18"/>
  <c r="H28" i="18"/>
  <c r="H29" i="18"/>
  <c r="H30" i="18"/>
  <c r="H31" i="18"/>
  <c r="H57" i="18"/>
  <c r="H58" i="18"/>
  <c r="H59" i="18"/>
  <c r="H60" i="18"/>
  <c r="H61" i="18"/>
  <c r="H62" i="18"/>
  <c r="H63" i="18"/>
  <c r="H64" i="18"/>
  <c r="H65" i="18"/>
  <c r="H66" i="18"/>
  <c r="H67" i="18"/>
  <c r="H68" i="18"/>
  <c r="H69" i="18"/>
  <c r="H70" i="18"/>
  <c r="H71" i="18"/>
  <c r="H97" i="18"/>
  <c r="H98" i="18"/>
  <c r="H99" i="18"/>
  <c r="H100" i="18"/>
  <c r="H101" i="18"/>
  <c r="H102" i="18"/>
  <c r="H103" i="18"/>
  <c r="H104" i="18"/>
  <c r="H105" i="18"/>
  <c r="H106" i="18"/>
  <c r="H107" i="18"/>
  <c r="H108" i="18"/>
  <c r="H109" i="18"/>
  <c r="H110" i="18"/>
  <c r="H111" i="18"/>
  <c r="H11" i="33"/>
  <c r="H12" i="33"/>
  <c r="H13" i="33"/>
  <c r="H14" i="33"/>
  <c r="H15" i="33"/>
  <c r="H16" i="33"/>
  <c r="H17" i="33"/>
  <c r="H18" i="33"/>
  <c r="H19" i="33"/>
  <c r="H20" i="33"/>
  <c r="H21" i="33"/>
  <c r="H22" i="33"/>
  <c r="H23" i="33"/>
  <c r="H24" i="33"/>
  <c r="H25" i="33"/>
  <c r="G18" i="47"/>
  <c r="H87" i="4" l="1"/>
  <c r="H88" i="4"/>
  <c r="H85" i="4"/>
  <c r="H89" i="4"/>
  <c r="H84" i="4"/>
  <c r="H83" i="4"/>
  <c r="F91" i="4"/>
  <c r="H71" i="4"/>
  <c r="H73" i="4"/>
  <c r="H55" i="4"/>
  <c r="H72" i="4"/>
  <c r="H69" i="4"/>
  <c r="H67" i="4"/>
  <c r="H66" i="4"/>
  <c r="H68" i="4"/>
  <c r="D59" i="4"/>
  <c r="H53" i="4"/>
  <c r="H51" i="4"/>
  <c r="F59" i="4"/>
  <c r="H38" i="4"/>
  <c r="F43" i="4"/>
  <c r="H34" i="4"/>
  <c r="H43" i="4" s="1"/>
  <c r="F75" i="4"/>
  <c r="H36" i="4"/>
  <c r="H74" i="4"/>
  <c r="H91" i="4"/>
  <c r="H70" i="4"/>
  <c r="H75" i="4" s="1"/>
  <c r="D43" i="4"/>
  <c r="D91" i="4"/>
  <c r="F58" i="14"/>
  <c r="F59" i="14"/>
  <c r="F60" i="14"/>
  <c r="F61" i="14"/>
  <c r="F27" i="14"/>
  <c r="F28" i="14"/>
  <c r="F29" i="14"/>
  <c r="F30" i="14"/>
  <c r="F31" i="14"/>
  <c r="F32" i="14"/>
  <c r="F33" i="14"/>
  <c r="F34" i="14"/>
  <c r="F35" i="14"/>
  <c r="F36" i="14"/>
  <c r="F37" i="14"/>
  <c r="F51" i="14"/>
  <c r="F50" i="14"/>
  <c r="F49" i="14"/>
  <c r="F48" i="14"/>
  <c r="F47" i="14"/>
  <c r="F46" i="14"/>
  <c r="F45" i="14"/>
  <c r="F44" i="14"/>
  <c r="H59" i="4" l="1"/>
  <c r="F38" i="14"/>
  <c r="G85" i="14"/>
  <c r="F52" i="14"/>
  <c r="F63" i="14" l="1"/>
  <c r="F17" i="43" l="1"/>
  <c r="G17" i="47" l="1"/>
  <c r="G19" i="47"/>
  <c r="G20" i="47"/>
  <c r="G21" i="47"/>
  <c r="G22" i="47"/>
  <c r="G23" i="47"/>
  <c r="G24" i="47"/>
  <c r="G25" i="47"/>
  <c r="G26" i="47"/>
  <c r="G27" i="47"/>
  <c r="G28" i="47"/>
  <c r="B41" i="11" l="1"/>
  <c r="B35" i="11"/>
  <c r="B29" i="11"/>
  <c r="B30" i="11" s="1"/>
  <c r="B31" i="11" s="1"/>
  <c r="B32" i="11" s="1"/>
  <c r="B33" i="11" s="1"/>
  <c r="B23" i="11"/>
  <c r="B17" i="11"/>
  <c r="B18" i="11" s="1"/>
  <c r="B19" i="11" s="1"/>
  <c r="B20" i="11" s="1"/>
  <c r="B21" i="11" s="1"/>
  <c r="E15" i="41"/>
  <c r="B15" i="41"/>
  <c r="E18" i="40"/>
  <c r="E16" i="40"/>
  <c r="E31" i="42"/>
  <c r="E24" i="40" s="1"/>
  <c r="E26" i="40" l="1"/>
  <c r="G26" i="40" s="1"/>
  <c r="H26" i="40" s="1"/>
  <c r="G18" i="40"/>
  <c r="H18" i="40" s="1"/>
  <c r="G17" i="40"/>
  <c r="H17" i="40" s="1"/>
  <c r="G16" i="40"/>
  <c r="H16" i="40" s="1"/>
  <c r="G25" i="40"/>
  <c r="H25" i="40" s="1"/>
  <c r="G24" i="40"/>
  <c r="H24" i="40" s="1"/>
  <c r="H27" i="6"/>
  <c r="H51" i="33" l="1"/>
  <c r="H52" i="33"/>
  <c r="H53" i="33"/>
  <c r="H54" i="33"/>
  <c r="H55" i="33"/>
  <c r="H56" i="33"/>
  <c r="H57" i="33"/>
  <c r="H58" i="33"/>
  <c r="H59" i="33"/>
  <c r="H60" i="33"/>
  <c r="H61" i="33"/>
  <c r="H62" i="33"/>
  <c r="H63" i="33"/>
  <c r="H64" i="33"/>
  <c r="H65" i="33"/>
  <c r="C32" i="18" l="1"/>
  <c r="B3" i="44"/>
  <c r="B3" i="35"/>
  <c r="B3" i="45"/>
  <c r="B3" i="36"/>
  <c r="B3" i="40"/>
  <c r="B3" i="41"/>
  <c r="B3" i="42"/>
  <c r="B2" i="42"/>
  <c r="B2" i="41"/>
  <c r="B2" i="40"/>
  <c r="B2" i="36"/>
  <c r="B2" i="45"/>
  <c r="B2" i="35"/>
  <c r="B2" i="44"/>
  <c r="D52" i="18" l="1"/>
  <c r="B4" i="4"/>
  <c r="C52" i="18" l="1"/>
  <c r="B4" i="27"/>
  <c r="E123" i="4" l="1"/>
  <c r="C123" i="4"/>
  <c r="G122" i="4"/>
  <c r="H122" i="4" s="1"/>
  <c r="D122" i="4"/>
  <c r="F122" i="4" s="1"/>
  <c r="G121" i="4"/>
  <c r="D121" i="4"/>
  <c r="F121" i="4" s="1"/>
  <c r="G120" i="4"/>
  <c r="D120" i="4"/>
  <c r="F120" i="4" s="1"/>
  <c r="G119" i="4"/>
  <c r="D119" i="4"/>
  <c r="F119" i="4" s="1"/>
  <c r="G118" i="4"/>
  <c r="D118" i="4"/>
  <c r="F118" i="4" s="1"/>
  <c r="G117" i="4"/>
  <c r="D117" i="4"/>
  <c r="F117" i="4" s="1"/>
  <c r="G116" i="4"/>
  <c r="D116" i="4"/>
  <c r="F116" i="4" s="1"/>
  <c r="G115" i="4"/>
  <c r="D115" i="4"/>
  <c r="F115" i="4" s="1"/>
  <c r="G114" i="4"/>
  <c r="D114" i="4"/>
  <c r="F114" i="4" s="1"/>
  <c r="E107" i="4"/>
  <c r="C107" i="4"/>
  <c r="G106" i="4"/>
  <c r="D106" i="4"/>
  <c r="F106" i="4" s="1"/>
  <c r="G105" i="4"/>
  <c r="D105" i="4"/>
  <c r="F105" i="4" s="1"/>
  <c r="G104" i="4"/>
  <c r="D104" i="4"/>
  <c r="F104" i="4" s="1"/>
  <c r="G103" i="4"/>
  <c r="D103" i="4"/>
  <c r="F103" i="4" s="1"/>
  <c r="G102" i="4"/>
  <c r="D102" i="4"/>
  <c r="F102" i="4" s="1"/>
  <c r="G101" i="4"/>
  <c r="D101" i="4"/>
  <c r="F101" i="4" s="1"/>
  <c r="G100" i="4"/>
  <c r="D100" i="4"/>
  <c r="F100" i="4" s="1"/>
  <c r="G99" i="4"/>
  <c r="D99" i="4"/>
  <c r="G98" i="4"/>
  <c r="D98" i="4"/>
  <c r="F98" i="4" s="1"/>
  <c r="H120" i="4" l="1"/>
  <c r="H121" i="4"/>
  <c r="H104" i="4"/>
  <c r="H119" i="4"/>
  <c r="H115" i="4"/>
  <c r="D123" i="4"/>
  <c r="H117" i="4"/>
  <c r="H118" i="4"/>
  <c r="H114" i="4"/>
  <c r="H101" i="4"/>
  <c r="H98" i="4"/>
  <c r="H116" i="4"/>
  <c r="F123" i="4"/>
  <c r="H106" i="4"/>
  <c r="H102" i="4"/>
  <c r="D107" i="4"/>
  <c r="H103" i="4"/>
  <c r="H100" i="4"/>
  <c r="H105" i="4"/>
  <c r="F99" i="4"/>
  <c r="F107" i="4" s="1"/>
  <c r="H123" i="4" l="1"/>
  <c r="H99" i="4"/>
  <c r="H107" i="4" s="1"/>
  <c r="G17" i="14" l="1"/>
  <c r="E60" i="26" s="1"/>
  <c r="G18" i="14"/>
  <c r="E61" i="26" s="1"/>
  <c r="G19" i="14"/>
  <c r="E62" i="26" s="1"/>
  <c r="G20" i="14"/>
  <c r="E63" i="26" s="1"/>
  <c r="G21" i="14"/>
  <c r="E64" i="26" s="1"/>
  <c r="B4" i="2" l="1"/>
  <c r="B4" i="26"/>
  <c r="B4" i="11"/>
  <c r="B4" i="17"/>
  <c r="B4" i="6"/>
  <c r="B4" i="18"/>
  <c r="B4" i="33"/>
  <c r="B4" i="21"/>
  <c r="B3" i="9"/>
  <c r="B3" i="43"/>
  <c r="B4" i="14"/>
  <c r="B4" i="10"/>
  <c r="B4" i="47"/>
  <c r="B4" i="32"/>
  <c r="B4" i="30"/>
  <c r="B2" i="26"/>
  <c r="B2" i="4"/>
  <c r="B2" i="27"/>
  <c r="B2" i="11"/>
  <c r="B2" i="17"/>
  <c r="B2" i="6"/>
  <c r="B2" i="18"/>
  <c r="B2" i="33"/>
  <c r="B2" i="21"/>
  <c r="B2" i="9"/>
  <c r="B2" i="43"/>
  <c r="B2" i="14"/>
  <c r="B2" i="10"/>
  <c r="B2" i="47"/>
  <c r="B2" i="32"/>
  <c r="B2" i="30"/>
  <c r="B2" i="2"/>
  <c r="C58" i="26" l="1"/>
  <c r="I21" i="6"/>
  <c r="I15" i="6"/>
  <c r="A59" i="26"/>
  <c r="A60" i="26" s="1"/>
  <c r="A61" i="26" s="1"/>
  <c r="A62" i="26" s="1"/>
  <c r="A63" i="26" s="1"/>
  <c r="A64" i="26" s="1"/>
  <c r="A65" i="26" s="1"/>
  <c r="A66" i="26" s="1"/>
  <c r="A67" i="26" s="1"/>
  <c r="A68" i="26" s="1"/>
  <c r="A69" i="26" s="1"/>
  <c r="A70" i="26" s="1"/>
  <c r="A71" i="26" s="1"/>
  <c r="A72" i="26" s="1"/>
  <c r="A73" i="26" s="1"/>
  <c r="A74" i="26" s="1"/>
  <c r="A75" i="26" s="1"/>
  <c r="A76" i="26" s="1"/>
  <c r="A77" i="26" s="1"/>
  <c r="A78" i="26" s="1"/>
  <c r="A79" i="26" s="1"/>
  <c r="A80" i="26" s="1"/>
  <c r="A81" i="26" s="1"/>
  <c r="A82" i="26" s="1"/>
  <c r="A83" i="26" s="1"/>
  <c r="A84" i="26" s="1"/>
  <c r="A85" i="26" s="1"/>
  <c r="A86" i="26" s="1"/>
  <c r="A87" i="26" s="1"/>
  <c r="A88" i="26" s="1"/>
  <c r="A89" i="26" s="1"/>
  <c r="B58" i="26"/>
  <c r="B59" i="26" s="1"/>
  <c r="B60" i="26" s="1"/>
  <c r="B61" i="26" s="1"/>
  <c r="B62" i="26" s="1"/>
  <c r="B63" i="26" s="1"/>
  <c r="B64" i="26" s="1"/>
  <c r="B65" i="26" s="1"/>
  <c r="B66" i="26" s="1"/>
  <c r="B67" i="26" s="1"/>
  <c r="B68" i="26" s="1"/>
  <c r="B69" i="26" s="1"/>
  <c r="B70" i="26" s="1"/>
  <c r="B71" i="26" s="1"/>
  <c r="B72" i="26" s="1"/>
  <c r="B73" i="26" s="1"/>
  <c r="B74" i="26" s="1"/>
  <c r="B75" i="26" s="1"/>
  <c r="B76" i="26" s="1"/>
  <c r="B77" i="26" s="1"/>
  <c r="B78" i="26" s="1"/>
  <c r="B79" i="26" s="1"/>
  <c r="B80" i="26" s="1"/>
  <c r="B81" i="26" s="1"/>
  <c r="B82" i="26" s="1"/>
  <c r="B83" i="26" s="1"/>
  <c r="B84" i="26" s="1"/>
  <c r="B85" i="26" s="1"/>
  <c r="B86" i="26" s="1"/>
  <c r="B87" i="26" s="1"/>
  <c r="B88" i="26" s="1"/>
  <c r="B89" i="26" s="1"/>
  <c r="M51" i="26"/>
  <c r="M50" i="26"/>
  <c r="M49" i="26"/>
  <c r="G97" i="26"/>
  <c r="G96" i="26"/>
  <c r="G95" i="26"/>
  <c r="G94" i="26"/>
  <c r="G36" i="47"/>
  <c r="G35" i="47"/>
  <c r="G34" i="47"/>
  <c r="C20" i="10"/>
  <c r="C19" i="10"/>
  <c r="C18" i="10"/>
  <c r="G22" i="10" s="1"/>
  <c r="D27" i="40"/>
  <c r="D33" i="40" s="1"/>
  <c r="D19" i="40"/>
  <c r="D32" i="40" s="1"/>
  <c r="H26" i="35"/>
  <c r="H27" i="35" s="1"/>
  <c r="F13" i="44"/>
  <c r="A90" i="26" l="1"/>
  <c r="A91" i="26" s="1"/>
  <c r="A92" i="26" s="1"/>
  <c r="A93" i="26" s="1"/>
  <c r="A94" i="26" s="1"/>
  <c r="A95" i="26" s="1"/>
  <c r="A96" i="26" s="1"/>
  <c r="A97" i="26" s="1"/>
  <c r="B90" i="26"/>
  <c r="B91" i="26" s="1"/>
  <c r="B92" i="26" s="1"/>
  <c r="B93" i="26" s="1"/>
  <c r="B94" i="26" s="1"/>
  <c r="B95" i="26" s="1"/>
  <c r="B96" i="26" s="1"/>
  <c r="B97" i="26" s="1"/>
  <c r="G29" i="47"/>
  <c r="E44" i="47" s="1"/>
  <c r="G37" i="47"/>
  <c r="G38" i="47" s="1"/>
  <c r="G39" i="47" s="1"/>
  <c r="E45" i="47" s="1"/>
  <c r="E46" i="47" l="1"/>
  <c r="F92" i="26" l="1"/>
  <c r="G92" i="26" s="1"/>
  <c r="F90" i="26"/>
  <c r="G90" i="26" s="1"/>
  <c r="F91" i="26"/>
  <c r="G91" i="26" s="1"/>
  <c r="F93" i="26"/>
  <c r="G93" i="26" s="1"/>
  <c r="F86" i="26"/>
  <c r="G86" i="26" s="1"/>
  <c r="F80" i="26"/>
  <c r="G80" i="26" s="1"/>
  <c r="F74" i="26"/>
  <c r="G74" i="26" s="1"/>
  <c r="F68" i="26"/>
  <c r="G68" i="26" s="1"/>
  <c r="F85" i="26"/>
  <c r="G85" i="26" s="1"/>
  <c r="F79" i="26"/>
  <c r="G79" i="26" s="1"/>
  <c r="F73" i="26"/>
  <c r="G73" i="26" s="1"/>
  <c r="F67" i="26"/>
  <c r="G67" i="26" s="1"/>
  <c r="F81" i="26"/>
  <c r="G81" i="26" s="1"/>
  <c r="F84" i="26"/>
  <c r="G84" i="26" s="1"/>
  <c r="F78" i="26"/>
  <c r="G78" i="26" s="1"/>
  <c r="F72" i="26"/>
  <c r="G72" i="26" s="1"/>
  <c r="F66" i="26"/>
  <c r="G66" i="26" s="1"/>
  <c r="F83" i="26"/>
  <c r="G83" i="26" s="1"/>
  <c r="F77" i="26"/>
  <c r="G77" i="26" s="1"/>
  <c r="F71" i="26"/>
  <c r="G71" i="26" s="1"/>
  <c r="F65" i="26"/>
  <c r="G65" i="26" s="1"/>
  <c r="F88" i="26"/>
  <c r="G88" i="26" s="1"/>
  <c r="F82" i="26"/>
  <c r="G82" i="26" s="1"/>
  <c r="F76" i="26"/>
  <c r="G76" i="26" s="1"/>
  <c r="F70" i="26"/>
  <c r="G70" i="26" s="1"/>
  <c r="F87" i="26"/>
  <c r="G87" i="26" s="1"/>
  <c r="F75" i="26"/>
  <c r="G75" i="26" s="1"/>
  <c r="F69" i="26"/>
  <c r="G69" i="26" s="1"/>
  <c r="F89" i="26"/>
  <c r="G89" i="26" s="1"/>
  <c r="C40" i="43"/>
  <c r="C39" i="43"/>
  <c r="F16" i="43"/>
  <c r="F30" i="43" l="1"/>
  <c r="F18" i="43"/>
  <c r="G64" i="26"/>
  <c r="F98" i="26"/>
  <c r="C43" i="43"/>
  <c r="F31" i="43" l="1"/>
  <c r="F32" i="43" s="1"/>
  <c r="E14" i="9" s="1"/>
  <c r="D14" i="9" s="1"/>
  <c r="F19" i="43"/>
  <c r="F21" i="43" s="1"/>
  <c r="E24" i="9" s="1"/>
  <c r="G14" i="26" s="1"/>
  <c r="E19" i="40"/>
  <c r="E32" i="40" s="1"/>
  <c r="D13" i="44"/>
  <c r="E13" i="44"/>
  <c r="F14" i="36"/>
  <c r="D22" i="36"/>
  <c r="C12" i="45" s="1"/>
  <c r="E28" i="9" l="1"/>
  <c r="E15" i="36"/>
  <c r="C11" i="45" s="1"/>
  <c r="I52" i="26" l="1"/>
  <c r="D18" i="9" l="1"/>
  <c r="E18" i="9"/>
  <c r="D29" i="36"/>
  <c r="G28" i="26" l="1"/>
  <c r="G46" i="26"/>
  <c r="G25" i="26"/>
  <c r="G23" i="26"/>
  <c r="G22" i="26"/>
  <c r="G40" i="26"/>
  <c r="G19" i="26"/>
  <c r="G36" i="26"/>
  <c r="G33" i="26"/>
  <c r="G29" i="26"/>
  <c r="G47" i="26"/>
  <c r="G27" i="26"/>
  <c r="G26" i="26"/>
  <c r="G45" i="26"/>
  <c r="G24" i="26"/>
  <c r="G42" i="26"/>
  <c r="G21" i="26"/>
  <c r="G20" i="26"/>
  <c r="G38" i="26"/>
  <c r="G35" i="26"/>
  <c r="G32" i="26"/>
  <c r="G18" i="26"/>
  <c r="G44" i="26"/>
  <c r="G43" i="26"/>
  <c r="G41" i="26"/>
  <c r="G39" i="26"/>
  <c r="G37" i="26"/>
  <c r="G34" i="26"/>
  <c r="G31" i="26"/>
  <c r="G30" i="26"/>
  <c r="C13" i="45"/>
  <c r="C14" i="45" s="1"/>
  <c r="B28" i="36"/>
  <c r="B27" i="36"/>
  <c r="G52" i="26" l="1"/>
  <c r="H52" i="26"/>
  <c r="F15" i="41"/>
  <c r="F14" i="41"/>
  <c r="C28" i="36"/>
  <c r="C27" i="36"/>
  <c r="E27" i="36" s="1"/>
  <c r="C20" i="36"/>
  <c r="E20" i="36" s="1"/>
  <c r="B20" i="36"/>
  <c r="C21" i="36"/>
  <c r="E21" i="36" s="1"/>
  <c r="E22" i="36" s="1"/>
  <c r="D12" i="45" s="1"/>
  <c r="E12" i="45" s="1"/>
  <c r="B21" i="36"/>
  <c r="B14" i="36"/>
  <c r="E28" i="36" l="1"/>
  <c r="E29" i="36" s="1"/>
  <c r="D13" i="45" s="1"/>
  <c r="E13" i="45" s="1"/>
  <c r="F19" i="40"/>
  <c r="F32" i="40" s="1"/>
  <c r="H19" i="40"/>
  <c r="H32" i="40" s="1"/>
  <c r="F15" i="36"/>
  <c r="D11" i="45" s="1"/>
  <c r="E11" i="45" s="1"/>
  <c r="G14" i="41"/>
  <c r="H14" i="41" s="1"/>
  <c r="G15" i="41"/>
  <c r="H15" i="41" s="1"/>
  <c r="I15" i="41" s="1"/>
  <c r="H16" i="41" l="1"/>
  <c r="I14" i="41"/>
  <c r="I16" i="41" s="1"/>
  <c r="G16" i="41"/>
  <c r="G19" i="40"/>
  <c r="G32" i="40" s="1"/>
  <c r="D14" i="45"/>
  <c r="E14" i="45"/>
  <c r="I27" i="6"/>
  <c r="B92" i="21"/>
  <c r="B51" i="21"/>
  <c r="B10" i="21"/>
  <c r="J46" i="26" l="1"/>
  <c r="J36" i="26"/>
  <c r="J35" i="26"/>
  <c r="J25" i="26"/>
  <c r="J24" i="26"/>
  <c r="J23" i="26"/>
  <c r="J22" i="26"/>
  <c r="J21" i="26"/>
  <c r="J20" i="26"/>
  <c r="J19" i="26"/>
  <c r="J18" i="26"/>
  <c r="J26" i="26"/>
  <c r="J45" i="26"/>
  <c r="J44" i="26"/>
  <c r="J34" i="26"/>
  <c r="J43" i="26"/>
  <c r="J33" i="26"/>
  <c r="J32" i="26"/>
  <c r="J42" i="26"/>
  <c r="J41" i="26"/>
  <c r="J31" i="26"/>
  <c r="J30" i="26"/>
  <c r="J40" i="26"/>
  <c r="J39" i="26"/>
  <c r="J29" i="26"/>
  <c r="J38" i="26"/>
  <c r="J28" i="26"/>
  <c r="J37" i="26"/>
  <c r="J27" i="26"/>
  <c r="J47" i="26"/>
  <c r="L20" i="26"/>
  <c r="L26" i="26"/>
  <c r="L32" i="26"/>
  <c r="L38" i="26"/>
  <c r="L24" i="26"/>
  <c r="L37" i="26"/>
  <c r="L21" i="26"/>
  <c r="L39" i="26"/>
  <c r="L23" i="26"/>
  <c r="L42" i="26"/>
  <c r="L31" i="26"/>
  <c r="L27" i="26"/>
  <c r="L33" i="26"/>
  <c r="L29" i="26"/>
  <c r="L25" i="26"/>
  <c r="L22" i="26"/>
  <c r="L40" i="26"/>
  <c r="L41" i="26"/>
  <c r="L30" i="26"/>
  <c r="L19" i="26"/>
  <c r="L28" i="26"/>
  <c r="L34" i="26"/>
  <c r="L35" i="26"/>
  <c r="L36" i="26"/>
  <c r="L43" i="26"/>
  <c r="B93" i="21"/>
  <c r="D92" i="21"/>
  <c r="F92" i="21" s="1"/>
  <c r="C92" i="21"/>
  <c r="E92" i="21" s="1"/>
  <c r="B16" i="27"/>
  <c r="G16" i="27" s="1" a="1"/>
  <c r="G16" i="27" s="1"/>
  <c r="B140" i="17"/>
  <c r="B99" i="17"/>
  <c r="D100" i="17"/>
  <c r="E100" i="17"/>
  <c r="F100" i="17"/>
  <c r="G100" i="17"/>
  <c r="H100" i="17"/>
  <c r="D101" i="17"/>
  <c r="E101" i="17"/>
  <c r="F101" i="17"/>
  <c r="G101" i="17"/>
  <c r="H101" i="17"/>
  <c r="D102" i="17"/>
  <c r="E102" i="17"/>
  <c r="F102" i="17"/>
  <c r="G102" i="17"/>
  <c r="H102" i="17"/>
  <c r="D103" i="17"/>
  <c r="E103" i="17"/>
  <c r="F103" i="17"/>
  <c r="G103" i="17"/>
  <c r="H103" i="17"/>
  <c r="D99" i="17"/>
  <c r="E99" i="17"/>
  <c r="F99" i="17"/>
  <c r="G99" i="17"/>
  <c r="H99" i="17"/>
  <c r="C99" i="17"/>
  <c r="C100" i="17"/>
  <c r="C101" i="17"/>
  <c r="C102" i="17"/>
  <c r="C103" i="17"/>
  <c r="H140" i="17" l="1"/>
  <c r="J52" i="26"/>
  <c r="L52" i="26"/>
  <c r="G140" i="17"/>
  <c r="C140" i="17"/>
  <c r="F140" i="17"/>
  <c r="E140" i="17"/>
  <c r="D140" i="17"/>
  <c r="B94" i="21"/>
  <c r="D93" i="21"/>
  <c r="F93" i="21" s="1"/>
  <c r="C93" i="21"/>
  <c r="E93" i="21" s="1"/>
  <c r="H104" i="17"/>
  <c r="E104" i="17"/>
  <c r="G104" i="17"/>
  <c r="C104" i="17"/>
  <c r="D104" i="17"/>
  <c r="F104" i="17"/>
  <c r="I102" i="17"/>
  <c r="I103" i="17"/>
  <c r="I99" i="17"/>
  <c r="I100" i="17"/>
  <c r="I101" i="17"/>
  <c r="B95" i="21" l="1"/>
  <c r="D94" i="21"/>
  <c r="F94" i="21" s="1"/>
  <c r="C94" i="21"/>
  <c r="E94" i="21" s="1"/>
  <c r="I140" i="17"/>
  <c r="I134" i="17"/>
  <c r="I104" i="17"/>
  <c r="B96" i="21" l="1"/>
  <c r="D95" i="21"/>
  <c r="F95" i="21" s="1"/>
  <c r="C95" i="21"/>
  <c r="E95" i="21" s="1"/>
  <c r="D96" i="21" l="1"/>
  <c r="F96" i="21" s="1"/>
  <c r="C96" i="21"/>
  <c r="E96" i="21" s="1"/>
  <c r="B182" i="17" l="1"/>
  <c r="I182" i="17" s="1"/>
  <c r="B58" i="17"/>
  <c r="C20" i="30" l="1"/>
  <c r="B21" i="30"/>
  <c r="C21" i="30" s="1"/>
  <c r="B22" i="30" l="1"/>
  <c r="B52" i="21"/>
  <c r="B11" i="21"/>
  <c r="B141" i="17"/>
  <c r="B100" i="17"/>
  <c r="B17" i="27"/>
  <c r="G17" i="27" s="1"/>
  <c r="B59" i="17"/>
  <c r="B183" i="17"/>
  <c r="I183" i="17" s="1"/>
  <c r="C22" i="30"/>
  <c r="B23" i="30" l="1"/>
  <c r="B53" i="21"/>
  <c r="B12" i="21"/>
  <c r="B18" i="27"/>
  <c r="G18" i="27" s="1"/>
  <c r="B142" i="17"/>
  <c r="B101" i="17"/>
  <c r="B60" i="17"/>
  <c r="B184" i="17"/>
  <c r="I184" i="17" s="1"/>
  <c r="D141" i="17"/>
  <c r="C141" i="17"/>
  <c r="G141" i="17"/>
  <c r="H141" i="17"/>
  <c r="E141" i="17"/>
  <c r="F141" i="17"/>
  <c r="I141" i="17" l="1"/>
  <c r="B24" i="30"/>
  <c r="B54" i="21"/>
  <c r="B13" i="21"/>
  <c r="B19" i="27"/>
  <c r="G19" i="27" s="1"/>
  <c r="B143" i="17"/>
  <c r="B102" i="17"/>
  <c r="B61" i="17"/>
  <c r="B185" i="17"/>
  <c r="I185" i="17" s="1"/>
  <c r="C23" i="30"/>
  <c r="F142" i="17"/>
  <c r="H142" i="17"/>
  <c r="E142" i="17"/>
  <c r="G142" i="17"/>
  <c r="D142" i="17"/>
  <c r="C142" i="17"/>
  <c r="B25" i="30" l="1"/>
  <c r="B55" i="21"/>
  <c r="B14" i="21"/>
  <c r="B20" i="27"/>
  <c r="G20" i="27" s="1"/>
  <c r="B144" i="17"/>
  <c r="B103" i="17"/>
  <c r="B62" i="17"/>
  <c r="B186" i="17"/>
  <c r="I186" i="17" s="1"/>
  <c r="C24" i="30"/>
  <c r="C143" i="17"/>
  <c r="G143" i="17"/>
  <c r="F143" i="17"/>
  <c r="D143" i="17"/>
  <c r="H143" i="17"/>
  <c r="E143" i="17"/>
  <c r="I142" i="17"/>
  <c r="E144" i="17" l="1"/>
  <c r="H144" i="17"/>
  <c r="D144" i="17"/>
  <c r="C144" i="17"/>
  <c r="G144" i="17"/>
  <c r="F144" i="17"/>
  <c r="B26" i="30"/>
  <c r="B56" i="21"/>
  <c r="B15" i="21"/>
  <c r="B21" i="27"/>
  <c r="G21" i="27" s="1"/>
  <c r="B145" i="17"/>
  <c r="B104" i="17"/>
  <c r="B22" i="17"/>
  <c r="B63" i="17"/>
  <c r="B187" i="17"/>
  <c r="C25" i="30"/>
  <c r="I143" i="17"/>
  <c r="B27" i="30" l="1"/>
  <c r="B57" i="21"/>
  <c r="B16" i="21"/>
  <c r="B22" i="27"/>
  <c r="B146" i="17"/>
  <c r="B105" i="17"/>
  <c r="B188" i="17"/>
  <c r="B64" i="17"/>
  <c r="B23" i="17"/>
  <c r="C26" i="30"/>
  <c r="G17" i="11" a="1"/>
  <c r="G17" i="11" s="1"/>
  <c r="E17" i="11" a="1"/>
  <c r="E17" i="11" s="1"/>
  <c r="H17" i="11" a="1"/>
  <c r="H17" i="11" s="1"/>
  <c r="C145" i="17"/>
  <c r="F145" i="17"/>
  <c r="D145" i="17"/>
  <c r="E145" i="17"/>
  <c r="G145" i="17"/>
  <c r="H145" i="17"/>
  <c r="I144" i="17"/>
  <c r="C17" i="11" l="1" a="1"/>
  <c r="C17" i="11" s="1"/>
  <c r="F17" i="11" a="1"/>
  <c r="F17" i="11" s="1"/>
  <c r="D17" i="11" a="1"/>
  <c r="D17" i="11" s="1"/>
  <c r="I145" i="17"/>
  <c r="B28" i="30"/>
  <c r="B58" i="21"/>
  <c r="B17" i="21"/>
  <c r="B23" i="27"/>
  <c r="B147" i="17"/>
  <c r="B106" i="17"/>
  <c r="B65" i="17"/>
  <c r="B24" i="17"/>
  <c r="B189" i="17"/>
  <c r="C27" i="30"/>
  <c r="I17" i="11" l="1"/>
  <c r="B29" i="30"/>
  <c r="B59" i="21"/>
  <c r="B18" i="21"/>
  <c r="B24" i="27"/>
  <c r="B148" i="17"/>
  <c r="B107" i="17"/>
  <c r="B66" i="17"/>
  <c r="B25" i="17"/>
  <c r="B190" i="17"/>
  <c r="C28" i="30"/>
  <c r="B30" i="30" l="1"/>
  <c r="B60" i="21"/>
  <c r="B19" i="21"/>
  <c r="B25" i="27"/>
  <c r="B149" i="17"/>
  <c r="B108" i="17"/>
  <c r="B67" i="17"/>
  <c r="B26" i="17"/>
  <c r="B191" i="17"/>
  <c r="C29" i="30"/>
  <c r="B31" i="30" l="1"/>
  <c r="B61" i="21"/>
  <c r="B20" i="21"/>
  <c r="B26" i="27"/>
  <c r="B150" i="17"/>
  <c r="B109" i="17"/>
  <c r="B68" i="17"/>
  <c r="B27" i="17"/>
  <c r="B192" i="17"/>
  <c r="C30" i="30"/>
  <c r="F29" i="11" l="1" a="1"/>
  <c r="F29" i="11" s="1"/>
  <c r="E29" i="11" a="1"/>
  <c r="E29" i="11" s="1"/>
  <c r="D29" i="11" a="1"/>
  <c r="D29" i="11" s="1"/>
  <c r="B32" i="30"/>
  <c r="B62" i="21"/>
  <c r="B21" i="21"/>
  <c r="B27" i="27"/>
  <c r="B151" i="17"/>
  <c r="B110" i="17"/>
  <c r="B28" i="17"/>
  <c r="B69" i="17"/>
  <c r="B193" i="17"/>
  <c r="C31" i="30"/>
  <c r="B33" i="30" l="1"/>
  <c r="B63" i="21"/>
  <c r="B22" i="21"/>
  <c r="B152" i="17"/>
  <c r="B28" i="27"/>
  <c r="B111" i="17"/>
  <c r="B194" i="17"/>
  <c r="B29" i="17"/>
  <c r="B70" i="17"/>
  <c r="C32" i="30"/>
  <c r="B34" i="30" l="1"/>
  <c r="B64" i="21"/>
  <c r="B23" i="21"/>
  <c r="B29" i="27"/>
  <c r="B153" i="17"/>
  <c r="B112" i="17"/>
  <c r="B71" i="17"/>
  <c r="B30" i="17"/>
  <c r="B195" i="17"/>
  <c r="C33" i="30"/>
  <c r="B35" i="30" l="1"/>
  <c r="B65" i="21"/>
  <c r="B24" i="21"/>
  <c r="B30" i="27"/>
  <c r="B154" i="17"/>
  <c r="B113" i="17"/>
  <c r="B72" i="17"/>
  <c r="B31" i="17"/>
  <c r="B196" i="17"/>
  <c r="C34" i="30"/>
  <c r="B36" i="30" l="1"/>
  <c r="B66" i="21"/>
  <c r="B25" i="21"/>
  <c r="B31" i="27"/>
  <c r="B155" i="17"/>
  <c r="B114" i="17"/>
  <c r="B73" i="17"/>
  <c r="B32" i="17"/>
  <c r="B197" i="17"/>
  <c r="C35" i="30"/>
  <c r="B97" i="21"/>
  <c r="B37" i="30" l="1"/>
  <c r="B67" i="21"/>
  <c r="B26" i="21"/>
  <c r="B32" i="27"/>
  <c r="B156" i="17"/>
  <c r="B115" i="17"/>
  <c r="B74" i="17"/>
  <c r="B33" i="17"/>
  <c r="B198" i="17"/>
  <c r="C36" i="30"/>
  <c r="B98" i="21"/>
  <c r="D97" i="21"/>
  <c r="C97" i="21"/>
  <c r="G85" i="33"/>
  <c r="H85" i="33" s="1"/>
  <c r="E85" i="33"/>
  <c r="F85" i="33" s="1"/>
  <c r="G84" i="33"/>
  <c r="H84" i="33" s="1"/>
  <c r="E84" i="33"/>
  <c r="F84" i="33" s="1"/>
  <c r="G83" i="33"/>
  <c r="H83" i="33" s="1"/>
  <c r="E83" i="33"/>
  <c r="F83" i="33" s="1"/>
  <c r="G82" i="33"/>
  <c r="H82" i="33" s="1"/>
  <c r="E82" i="33"/>
  <c r="F82" i="33" s="1"/>
  <c r="G81" i="33"/>
  <c r="H81" i="33" s="1"/>
  <c r="E81" i="33"/>
  <c r="F81" i="33" s="1"/>
  <c r="G80" i="33"/>
  <c r="H80" i="33" s="1"/>
  <c r="E80" i="33"/>
  <c r="F80" i="33" s="1"/>
  <c r="G79" i="33"/>
  <c r="H79" i="33" s="1"/>
  <c r="E79" i="33"/>
  <c r="F79" i="33" s="1"/>
  <c r="G78" i="33"/>
  <c r="H78" i="33" s="1"/>
  <c r="E78" i="33"/>
  <c r="F78" i="33" s="1"/>
  <c r="G77" i="33"/>
  <c r="H77" i="33" s="1"/>
  <c r="E77" i="33"/>
  <c r="F77" i="33" s="1"/>
  <c r="G76" i="33"/>
  <c r="H76" i="33" s="1"/>
  <c r="E76" i="33"/>
  <c r="F76" i="33" s="1"/>
  <c r="G75" i="33"/>
  <c r="H75" i="33" s="1"/>
  <c r="E75" i="33"/>
  <c r="F75" i="33" s="1"/>
  <c r="G74" i="33"/>
  <c r="H74" i="33" s="1"/>
  <c r="E74" i="33"/>
  <c r="F74" i="33" s="1"/>
  <c r="G73" i="33"/>
  <c r="H73" i="33" s="1"/>
  <c r="E73" i="33"/>
  <c r="F73" i="33" s="1"/>
  <c r="G72" i="33"/>
  <c r="H72" i="33" s="1"/>
  <c r="E72" i="33"/>
  <c r="F72" i="33" s="1"/>
  <c r="G71" i="33"/>
  <c r="H71" i="33" s="1"/>
  <c r="E71" i="33"/>
  <c r="F71" i="33" s="1"/>
  <c r="H66" i="33"/>
  <c r="G22" i="6" s="1" a="1"/>
  <c r="G22" i="6" s="1"/>
  <c r="G66" i="33"/>
  <c r="F66" i="33"/>
  <c r="F22" i="6" s="1" a="1"/>
  <c r="F22" i="6" s="1"/>
  <c r="E66" i="33"/>
  <c r="E22" i="6" s="1" a="1"/>
  <c r="E22" i="6" s="1"/>
  <c r="D66" i="33"/>
  <c r="D22" i="6" s="1" a="1"/>
  <c r="D22" i="6" s="1"/>
  <c r="C66" i="33"/>
  <c r="C22" i="6" s="1" a="1"/>
  <c r="C22" i="6" s="1"/>
  <c r="G45" i="33"/>
  <c r="H45" i="33" s="1"/>
  <c r="E45" i="33"/>
  <c r="F45" i="33" s="1"/>
  <c r="G44" i="33"/>
  <c r="H44" i="33" s="1"/>
  <c r="E44" i="33"/>
  <c r="F44" i="33" s="1"/>
  <c r="G43" i="33"/>
  <c r="H43" i="33" s="1"/>
  <c r="E43" i="33"/>
  <c r="F43" i="33" s="1"/>
  <c r="G42" i="33"/>
  <c r="H42" i="33" s="1"/>
  <c r="E42" i="33"/>
  <c r="F42" i="33" s="1"/>
  <c r="G41" i="33"/>
  <c r="H41" i="33" s="1"/>
  <c r="E41" i="33"/>
  <c r="F41" i="33" s="1"/>
  <c r="G40" i="33"/>
  <c r="H40" i="33" s="1"/>
  <c r="E40" i="33"/>
  <c r="F40" i="33" s="1"/>
  <c r="G39" i="33"/>
  <c r="H39" i="33" s="1"/>
  <c r="E39" i="33"/>
  <c r="F39" i="33" s="1"/>
  <c r="G38" i="33"/>
  <c r="H38" i="33" s="1"/>
  <c r="E38" i="33"/>
  <c r="F38" i="33" s="1"/>
  <c r="G37" i="33"/>
  <c r="H37" i="33" s="1"/>
  <c r="E37" i="33"/>
  <c r="F37" i="33" s="1"/>
  <c r="G36" i="33"/>
  <c r="H36" i="33" s="1"/>
  <c r="E36" i="33"/>
  <c r="F36" i="33" s="1"/>
  <c r="G35" i="33"/>
  <c r="H35" i="33" s="1"/>
  <c r="E35" i="33"/>
  <c r="F35" i="33" s="1"/>
  <c r="G34" i="33"/>
  <c r="H34" i="33" s="1"/>
  <c r="E34" i="33"/>
  <c r="F34" i="33" s="1"/>
  <c r="G33" i="33"/>
  <c r="H33" i="33" s="1"/>
  <c r="E33" i="33"/>
  <c r="F33" i="33" s="1"/>
  <c r="G32" i="33"/>
  <c r="H32" i="33" s="1"/>
  <c r="E32" i="33"/>
  <c r="F32" i="33" s="1"/>
  <c r="G31" i="33"/>
  <c r="E31" i="33"/>
  <c r="F31" i="33" s="1"/>
  <c r="H26" i="33"/>
  <c r="G21" i="6" s="1" a="1"/>
  <c r="G21" i="6" s="1"/>
  <c r="G26" i="33"/>
  <c r="F26" i="33"/>
  <c r="F21" i="6" s="1" a="1"/>
  <c r="F21" i="6" s="1"/>
  <c r="E26" i="33"/>
  <c r="E21" i="6" s="1" a="1"/>
  <c r="E21" i="6" s="1"/>
  <c r="D26" i="33"/>
  <c r="D21" i="6" s="1" a="1"/>
  <c r="D21" i="6" s="1"/>
  <c r="C26" i="33"/>
  <c r="C21" i="6" s="1" a="1"/>
  <c r="C21" i="6" s="1"/>
  <c r="E117" i="18"/>
  <c r="F117" i="18" s="1"/>
  <c r="G131" i="18"/>
  <c r="H131" i="18" s="1"/>
  <c r="E131" i="18"/>
  <c r="F131" i="18" s="1"/>
  <c r="G130" i="18"/>
  <c r="H130" i="18" s="1"/>
  <c r="E130" i="18"/>
  <c r="F130" i="18" s="1"/>
  <c r="G129" i="18"/>
  <c r="H129" i="18" s="1"/>
  <c r="E129" i="18"/>
  <c r="F129" i="18" s="1"/>
  <c r="G128" i="18"/>
  <c r="H128" i="18" s="1"/>
  <c r="E128" i="18"/>
  <c r="F128" i="18" s="1"/>
  <c r="G127" i="18"/>
  <c r="H127" i="18" s="1"/>
  <c r="E127" i="18"/>
  <c r="F127" i="18" s="1"/>
  <c r="G126" i="18"/>
  <c r="H126" i="18" s="1"/>
  <c r="E126" i="18"/>
  <c r="F126" i="18" s="1"/>
  <c r="G125" i="18"/>
  <c r="H125" i="18" s="1"/>
  <c r="E125" i="18"/>
  <c r="F125" i="18" s="1"/>
  <c r="G124" i="18"/>
  <c r="H124" i="18" s="1"/>
  <c r="E124" i="18"/>
  <c r="F124" i="18" s="1"/>
  <c r="G123" i="18"/>
  <c r="H123" i="18" s="1"/>
  <c r="E123" i="18"/>
  <c r="F123" i="18" s="1"/>
  <c r="G122" i="18"/>
  <c r="H122" i="18" s="1"/>
  <c r="E122" i="18"/>
  <c r="F122" i="18" s="1"/>
  <c r="G121" i="18"/>
  <c r="H121" i="18" s="1"/>
  <c r="E121" i="18"/>
  <c r="F121" i="18" s="1"/>
  <c r="G120" i="18"/>
  <c r="H120" i="18" s="1"/>
  <c r="E120" i="18"/>
  <c r="F120" i="18" s="1"/>
  <c r="G119" i="18"/>
  <c r="H119" i="18" s="1"/>
  <c r="E119" i="18"/>
  <c r="F119" i="18" s="1"/>
  <c r="G118" i="18"/>
  <c r="H118" i="18" s="1"/>
  <c r="E118" i="18"/>
  <c r="F118" i="18" s="1"/>
  <c r="G117" i="18"/>
  <c r="H117" i="18" s="1"/>
  <c r="G77" i="18"/>
  <c r="H77" i="18" s="1"/>
  <c r="G78" i="18"/>
  <c r="H78" i="18" s="1"/>
  <c r="G79" i="18"/>
  <c r="H79" i="18" s="1"/>
  <c r="G80" i="18"/>
  <c r="H80" i="18" s="1"/>
  <c r="G81" i="18"/>
  <c r="H81" i="18" s="1"/>
  <c r="G82" i="18"/>
  <c r="H82" i="18" s="1"/>
  <c r="G83" i="18"/>
  <c r="H83" i="18" s="1"/>
  <c r="G84" i="18"/>
  <c r="H84" i="18" s="1"/>
  <c r="G85" i="18"/>
  <c r="H85" i="18" s="1"/>
  <c r="G86" i="18"/>
  <c r="H86" i="18" s="1"/>
  <c r="G87" i="18"/>
  <c r="H87" i="18" s="1"/>
  <c r="G88" i="18"/>
  <c r="H88" i="18" s="1"/>
  <c r="G89" i="18"/>
  <c r="H89" i="18" s="1"/>
  <c r="G90" i="18"/>
  <c r="H90" i="18" s="1"/>
  <c r="G91" i="18"/>
  <c r="H91" i="18" s="1"/>
  <c r="E77" i="18"/>
  <c r="F77" i="18" s="1"/>
  <c r="E78" i="18"/>
  <c r="F78" i="18" s="1"/>
  <c r="E79" i="18"/>
  <c r="F79" i="18" s="1"/>
  <c r="E80" i="18"/>
  <c r="F80" i="18" s="1"/>
  <c r="E81" i="18"/>
  <c r="F81" i="18" s="1"/>
  <c r="E82" i="18"/>
  <c r="F82" i="18" s="1"/>
  <c r="C142" i="18" s="1"/>
  <c r="E142" i="18" s="1"/>
  <c r="E83" i="18"/>
  <c r="F83" i="18" s="1"/>
  <c r="E84" i="18"/>
  <c r="F84" i="18" s="1"/>
  <c r="E85" i="18"/>
  <c r="F85" i="18" s="1"/>
  <c r="E86" i="18"/>
  <c r="F86" i="18" s="1"/>
  <c r="E87" i="18"/>
  <c r="F87" i="18" s="1"/>
  <c r="E88" i="18"/>
  <c r="F88" i="18" s="1"/>
  <c r="E89" i="18"/>
  <c r="F89" i="18" s="1"/>
  <c r="E90" i="18"/>
  <c r="F90" i="18" s="1"/>
  <c r="E91" i="18"/>
  <c r="F91" i="18" s="1"/>
  <c r="C93" i="33" l="1"/>
  <c r="E93" i="33" s="1"/>
  <c r="D95" i="33"/>
  <c r="F95" i="33" s="1"/>
  <c r="C105" i="33"/>
  <c r="E105" i="33" s="1"/>
  <c r="D104" i="33"/>
  <c r="F104" i="33" s="1"/>
  <c r="C138" i="18"/>
  <c r="E138" i="18" s="1"/>
  <c r="C150" i="18"/>
  <c r="E150" i="18" s="1"/>
  <c r="C144" i="18"/>
  <c r="E144" i="18" s="1"/>
  <c r="C140" i="18"/>
  <c r="E140" i="18" s="1"/>
  <c r="C148" i="18"/>
  <c r="E148" i="18" s="1"/>
  <c r="C146" i="18"/>
  <c r="E146" i="18" s="1"/>
  <c r="D150" i="18"/>
  <c r="F150" i="18" s="1"/>
  <c r="D147" i="18"/>
  <c r="F147" i="18" s="1"/>
  <c r="B38" i="30"/>
  <c r="B68" i="21"/>
  <c r="B27" i="21"/>
  <c r="B33" i="27"/>
  <c r="B157" i="17"/>
  <c r="B116" i="17"/>
  <c r="B34" i="17"/>
  <c r="B75" i="17"/>
  <c r="B199" i="17"/>
  <c r="C37" i="30"/>
  <c r="C137" i="18"/>
  <c r="E137" i="18" s="1"/>
  <c r="D144" i="18"/>
  <c r="F144" i="18" s="1"/>
  <c r="D142" i="18"/>
  <c r="F142" i="18" s="1"/>
  <c r="G142" i="18" s="1"/>
  <c r="C141" i="18"/>
  <c r="E141" i="18" s="1"/>
  <c r="C147" i="18"/>
  <c r="E147" i="18" s="1"/>
  <c r="D151" i="18"/>
  <c r="F151" i="18" s="1"/>
  <c r="D145" i="18"/>
  <c r="F145" i="18" s="1"/>
  <c r="D139" i="18"/>
  <c r="F139" i="18" s="1"/>
  <c r="B99" i="21"/>
  <c r="D141" i="18"/>
  <c r="F141" i="18" s="1"/>
  <c r="C149" i="18"/>
  <c r="E149" i="18" s="1"/>
  <c r="D138" i="18"/>
  <c r="F138" i="18" s="1"/>
  <c r="C100" i="33"/>
  <c r="E100" i="33" s="1"/>
  <c r="D97" i="33"/>
  <c r="F97" i="33" s="1"/>
  <c r="D100" i="33"/>
  <c r="F100" i="33" s="1"/>
  <c r="C96" i="33"/>
  <c r="E96" i="33" s="1"/>
  <c r="C102" i="33"/>
  <c r="E102" i="33" s="1"/>
  <c r="D93" i="33"/>
  <c r="F93" i="33" s="1"/>
  <c r="D102" i="33"/>
  <c r="F102" i="33" s="1"/>
  <c r="G46" i="33"/>
  <c r="C98" i="33"/>
  <c r="E98" i="33" s="1"/>
  <c r="C95" i="33"/>
  <c r="E95" i="33" s="1"/>
  <c r="D99" i="33"/>
  <c r="F99" i="33" s="1"/>
  <c r="C104" i="33"/>
  <c r="E104" i="33" s="1"/>
  <c r="H31" i="33"/>
  <c r="H46" i="33" s="1"/>
  <c r="C92" i="33"/>
  <c r="E92" i="33" s="1"/>
  <c r="D96" i="33"/>
  <c r="F96" i="33" s="1"/>
  <c r="C101" i="33"/>
  <c r="E101" i="33" s="1"/>
  <c r="D105" i="33"/>
  <c r="F105" i="33" s="1"/>
  <c r="D148" i="18"/>
  <c r="F148" i="18" s="1"/>
  <c r="D149" i="18"/>
  <c r="F149" i="18" s="1"/>
  <c r="D143" i="18"/>
  <c r="F143" i="18" s="1"/>
  <c r="D137" i="18"/>
  <c r="F137" i="18" s="1"/>
  <c r="D146" i="18"/>
  <c r="F146" i="18" s="1"/>
  <c r="D140" i="18"/>
  <c r="F140" i="18" s="1"/>
  <c r="C139" i="18"/>
  <c r="E139" i="18" s="1"/>
  <c r="C145" i="18"/>
  <c r="E145" i="18" s="1"/>
  <c r="C151" i="18"/>
  <c r="E151" i="18" s="1"/>
  <c r="C94" i="33"/>
  <c r="E94" i="33" s="1"/>
  <c r="D92" i="33"/>
  <c r="F92" i="33" s="1"/>
  <c r="D94" i="33"/>
  <c r="F94" i="33" s="1"/>
  <c r="C97" i="33"/>
  <c r="E97" i="33" s="1"/>
  <c r="C99" i="33"/>
  <c r="E99" i="33" s="1"/>
  <c r="D101" i="33"/>
  <c r="F101" i="33" s="1"/>
  <c r="D103" i="33"/>
  <c r="F103" i="33" s="1"/>
  <c r="F86" i="33"/>
  <c r="C91" i="33"/>
  <c r="F46" i="33"/>
  <c r="D98" i="33"/>
  <c r="F98" i="33" s="1"/>
  <c r="C103" i="33"/>
  <c r="E103" i="33" s="1"/>
  <c r="H86" i="33"/>
  <c r="E46" i="33"/>
  <c r="G86" i="33"/>
  <c r="E86" i="33"/>
  <c r="C143" i="18"/>
  <c r="E143" i="18" s="1"/>
  <c r="E132" i="18"/>
  <c r="G132" i="18"/>
  <c r="E92" i="18"/>
  <c r="G92" i="18"/>
  <c r="G93" i="33" l="1"/>
  <c r="H95" i="33"/>
  <c r="G148" i="18"/>
  <c r="H144" i="18"/>
  <c r="G150" i="18"/>
  <c r="H105" i="33"/>
  <c r="G104" i="33"/>
  <c r="G145" i="18"/>
  <c r="H138" i="18"/>
  <c r="G140" i="18"/>
  <c r="H146" i="18"/>
  <c r="G147" i="18"/>
  <c r="H142" i="18"/>
  <c r="H150" i="18"/>
  <c r="G144" i="18"/>
  <c r="G141" i="18"/>
  <c r="H137" i="18"/>
  <c r="H141" i="18"/>
  <c r="B39" i="30"/>
  <c r="B69" i="21"/>
  <c r="B28" i="21"/>
  <c r="B117" i="17"/>
  <c r="B34" i="27"/>
  <c r="B158" i="17"/>
  <c r="B200" i="17"/>
  <c r="B35" i="17"/>
  <c r="B76" i="17"/>
  <c r="C38" i="30"/>
  <c r="H147" i="18"/>
  <c r="G151" i="18"/>
  <c r="G138" i="18"/>
  <c r="G149" i="18"/>
  <c r="H139" i="18"/>
  <c r="B100" i="21"/>
  <c r="H149" i="18"/>
  <c r="H93" i="33"/>
  <c r="H100" i="33"/>
  <c r="H104" i="33"/>
  <c r="E91" i="33"/>
  <c r="E106" i="33" s="1"/>
  <c r="C106" i="33"/>
  <c r="H148" i="18"/>
  <c r="G146" i="18"/>
  <c r="H92" i="21"/>
  <c r="G92" i="21"/>
  <c r="H143" i="18"/>
  <c r="G100" i="33"/>
  <c r="G137" i="18"/>
  <c r="G102" i="33"/>
  <c r="H97" i="33"/>
  <c r="H92" i="33"/>
  <c r="H98" i="33"/>
  <c r="H96" i="33"/>
  <c r="H102" i="33"/>
  <c r="G94" i="33"/>
  <c r="G96" i="33"/>
  <c r="G92" i="33"/>
  <c r="H103" i="33"/>
  <c r="G98" i="33"/>
  <c r="G101" i="33"/>
  <c r="H99" i="33"/>
  <c r="G105" i="33"/>
  <c r="G95" i="33"/>
  <c r="D91" i="33"/>
  <c r="H145" i="18"/>
  <c r="H151" i="18"/>
  <c r="G139" i="18"/>
  <c r="H140" i="18"/>
  <c r="E152" i="18"/>
  <c r="G143" i="18"/>
  <c r="H94" i="33"/>
  <c r="H101" i="33"/>
  <c r="G99" i="33"/>
  <c r="G103" i="33"/>
  <c r="G97" i="33"/>
  <c r="B40" i="30" l="1"/>
  <c r="B70" i="21"/>
  <c r="B35" i="27"/>
  <c r="B29" i="21"/>
  <c r="B159" i="17"/>
  <c r="B118" i="17"/>
  <c r="B77" i="17"/>
  <c r="B36" i="17"/>
  <c r="B201" i="17"/>
  <c r="C39" i="30"/>
  <c r="B101" i="21"/>
  <c r="F91" i="33"/>
  <c r="G91" i="33" s="1"/>
  <c r="G106" i="33" s="1"/>
  <c r="D106" i="33"/>
  <c r="H93" i="21"/>
  <c r="G93" i="21"/>
  <c r="G152" i="18"/>
  <c r="B41" i="30" l="1"/>
  <c r="B71" i="21"/>
  <c r="B30" i="21"/>
  <c r="B36" i="27"/>
  <c r="B160" i="17"/>
  <c r="B119" i="17"/>
  <c r="B78" i="17"/>
  <c r="B37" i="17"/>
  <c r="B202" i="17"/>
  <c r="C40" i="30"/>
  <c r="B102" i="21"/>
  <c r="F106" i="33"/>
  <c r="H91" i="33"/>
  <c r="H106" i="33" s="1"/>
  <c r="H22" i="6" s="1" a="1"/>
  <c r="H22" i="6" s="1"/>
  <c r="I22" i="6" s="1"/>
  <c r="H94" i="21"/>
  <c r="G94" i="21"/>
  <c r="B42" i="30" l="1"/>
  <c r="B72" i="21"/>
  <c r="B31" i="21"/>
  <c r="B37" i="27"/>
  <c r="B161" i="17"/>
  <c r="B120" i="17"/>
  <c r="B79" i="17"/>
  <c r="B38" i="17"/>
  <c r="B203" i="17"/>
  <c r="C41" i="30"/>
  <c r="B103" i="21"/>
  <c r="H95" i="21"/>
  <c r="G95" i="21"/>
  <c r="B43" i="30" l="1"/>
  <c r="B73" i="21"/>
  <c r="B32" i="21"/>
  <c r="B38" i="27"/>
  <c r="B162" i="17"/>
  <c r="B121" i="17"/>
  <c r="B80" i="17"/>
  <c r="B39" i="17"/>
  <c r="B204" i="17"/>
  <c r="C42" i="30"/>
  <c r="B104" i="21"/>
  <c r="H96" i="21"/>
  <c r="G96" i="21"/>
  <c r="B44" i="30" l="1"/>
  <c r="B74" i="21"/>
  <c r="B33" i="21"/>
  <c r="B39" i="27"/>
  <c r="B163" i="17"/>
  <c r="B122" i="17"/>
  <c r="B81" i="17"/>
  <c r="B40" i="17"/>
  <c r="B205" i="17"/>
  <c r="C43" i="30"/>
  <c r="B105" i="21"/>
  <c r="B45" i="30" l="1"/>
  <c r="B75" i="21"/>
  <c r="B34" i="21"/>
  <c r="B40" i="27"/>
  <c r="B164" i="17"/>
  <c r="B123" i="17"/>
  <c r="B206" i="17"/>
  <c r="B41" i="17"/>
  <c r="B82" i="17"/>
  <c r="C44" i="30"/>
  <c r="B106" i="21"/>
  <c r="B46" i="30" l="1"/>
  <c r="B76" i="21"/>
  <c r="B35" i="21"/>
  <c r="B41" i="27"/>
  <c r="B165" i="17"/>
  <c r="B124" i="17"/>
  <c r="B83" i="17"/>
  <c r="B42" i="17"/>
  <c r="B207" i="17"/>
  <c r="C45" i="30"/>
  <c r="B107" i="21"/>
  <c r="B47" i="30" l="1"/>
  <c r="B77" i="21"/>
  <c r="B36" i="21"/>
  <c r="B42" i="27"/>
  <c r="B166" i="17"/>
  <c r="B125" i="17"/>
  <c r="B43" i="17"/>
  <c r="B84" i="17"/>
  <c r="B208" i="17"/>
  <c r="C46" i="30"/>
  <c r="B108" i="21"/>
  <c r="B48" i="30" l="1"/>
  <c r="B78" i="21"/>
  <c r="B37" i="21"/>
  <c r="B43" i="27"/>
  <c r="B167" i="17"/>
  <c r="B126" i="17"/>
  <c r="B44" i="17"/>
  <c r="B85" i="17"/>
  <c r="B209" i="17"/>
  <c r="C47" i="30"/>
  <c r="B109" i="21"/>
  <c r="B49" i="30" l="1"/>
  <c r="B79" i="21"/>
  <c r="B38" i="21"/>
  <c r="B44" i="27"/>
  <c r="B168" i="17"/>
  <c r="B127" i="17"/>
  <c r="B86" i="17"/>
  <c r="B45" i="17"/>
  <c r="B210" i="17"/>
  <c r="C48" i="30"/>
  <c r="B110" i="21"/>
  <c r="B50" i="30" l="1"/>
  <c r="B80" i="21"/>
  <c r="B39" i="21"/>
  <c r="B45" i="27"/>
  <c r="B169" i="17"/>
  <c r="B128" i="17"/>
  <c r="B87" i="17"/>
  <c r="B46" i="17"/>
  <c r="B211" i="17"/>
  <c r="C49" i="30"/>
  <c r="B111" i="21"/>
  <c r="B51" i="30" l="1"/>
  <c r="B81" i="21"/>
  <c r="B40" i="21"/>
  <c r="B46" i="27"/>
  <c r="B170" i="17"/>
  <c r="B129" i="17"/>
  <c r="B212" i="17"/>
  <c r="B88" i="17"/>
  <c r="B47" i="17"/>
  <c r="C50" i="30"/>
  <c r="B112" i="21"/>
  <c r="B52" i="30" l="1"/>
  <c r="B82" i="21"/>
  <c r="B130" i="17"/>
  <c r="B41" i="21"/>
  <c r="B47" i="27"/>
  <c r="B171" i="17"/>
  <c r="B89" i="17"/>
  <c r="B48" i="17"/>
  <c r="B213" i="17"/>
  <c r="C51" i="30"/>
  <c r="B113" i="21"/>
  <c r="B53" i="30" l="1"/>
  <c r="B83" i="21"/>
  <c r="B42" i="21"/>
  <c r="B48" i="27"/>
  <c r="B172" i="17"/>
  <c r="B131" i="17"/>
  <c r="B49" i="17"/>
  <c r="B90" i="17"/>
  <c r="B214" i="17"/>
  <c r="C52" i="30"/>
  <c r="B114" i="21"/>
  <c r="G42" i="21" l="1" a="1"/>
  <c r="G42" i="21" s="1"/>
  <c r="G83" i="21" a="1"/>
  <c r="G83" i="21" s="1"/>
  <c r="B54" i="30"/>
  <c r="B84" i="21"/>
  <c r="B43" i="21"/>
  <c r="B49" i="27"/>
  <c r="B173" i="17"/>
  <c r="B132" i="17"/>
  <c r="B50" i="17"/>
  <c r="B91" i="17"/>
  <c r="B215" i="17"/>
  <c r="C53" i="30"/>
  <c r="B115" i="21"/>
  <c r="G84" i="21" l="1" a="1"/>
  <c r="G84" i="21" s="1"/>
  <c r="G43" i="21" a="1"/>
  <c r="G43" i="21" s="1"/>
  <c r="B55" i="30"/>
  <c r="B85" i="21"/>
  <c r="B44" i="21"/>
  <c r="B50" i="27"/>
  <c r="B174" i="17"/>
  <c r="B133" i="17"/>
  <c r="B51" i="17"/>
  <c r="B92" i="17"/>
  <c r="B216" i="17"/>
  <c r="C54" i="30"/>
  <c r="B116" i="21"/>
  <c r="G44" i="21" l="1" a="1"/>
  <c r="G44" i="21" s="1"/>
  <c r="G85" i="21" a="1"/>
  <c r="G85" i="21" s="1"/>
  <c r="B86" i="21"/>
  <c r="B45" i="21"/>
  <c r="B51" i="27"/>
  <c r="B175" i="17"/>
  <c r="B134" i="17"/>
  <c r="B52" i="17"/>
  <c r="B93" i="17"/>
  <c r="B217" i="17"/>
  <c r="C55" i="30"/>
  <c r="B117" i="21"/>
  <c r="G45" i="21" l="1" a="1"/>
  <c r="G45" i="21" s="1"/>
  <c r="G86" i="21" a="1"/>
  <c r="G86" i="21" s="1"/>
  <c r="F175" i="17"/>
  <c r="C175" i="17"/>
  <c r="D175" i="17"/>
  <c r="E175" i="17"/>
  <c r="E35" i="11" s="1" a="1"/>
  <c r="E35" i="11" s="1"/>
  <c r="G175" i="17"/>
  <c r="H175" i="17"/>
  <c r="D34" i="11" a="1"/>
  <c r="D34" i="11" s="1"/>
  <c r="G34" i="11" a="1"/>
  <c r="G34" i="11" s="1"/>
  <c r="E34" i="11" a="1"/>
  <c r="E34" i="11" s="1"/>
  <c r="F34" i="11" a="1"/>
  <c r="F34" i="11" s="1"/>
  <c r="H34" i="11" a="1"/>
  <c r="H34" i="11" s="1"/>
  <c r="C34" i="11" a="1"/>
  <c r="C34" i="11" s="1"/>
  <c r="C22" i="11" a="1"/>
  <c r="C22" i="11" s="1"/>
  <c r="D23" i="11" a="1"/>
  <c r="D23" i="11" s="1"/>
  <c r="H23" i="11" a="1"/>
  <c r="H23" i="11" s="1"/>
  <c r="G23" i="11" a="1"/>
  <c r="G23" i="11" s="1"/>
  <c r="D22" i="11" a="1"/>
  <c r="D22" i="11" s="1"/>
  <c r="H22" i="11" a="1"/>
  <c r="H22" i="11" s="1"/>
  <c r="E23" i="11" a="1"/>
  <c r="E23" i="11" s="1"/>
  <c r="G22" i="11" a="1"/>
  <c r="G22" i="11" s="1"/>
  <c r="F23" i="11" a="1"/>
  <c r="F23" i="11" s="1"/>
  <c r="E22" i="11" a="1"/>
  <c r="E22" i="11" s="1"/>
  <c r="C23" i="11" a="1"/>
  <c r="C23" i="11" s="1"/>
  <c r="F22" i="11" a="1"/>
  <c r="F22" i="11" s="1"/>
  <c r="B118" i="21"/>
  <c r="C35" i="11" l="1" a="1"/>
  <c r="C35" i="11" s="1"/>
  <c r="D47" i="26"/>
  <c r="F35" i="11" a="1"/>
  <c r="F35" i="11" s="1"/>
  <c r="E47" i="26"/>
  <c r="D35" i="11" a="1"/>
  <c r="D35" i="11" s="1"/>
  <c r="I22" i="11"/>
  <c r="G35" i="11" a="1"/>
  <c r="G35" i="11" s="1"/>
  <c r="I175" i="17"/>
  <c r="H35" i="11" a="1"/>
  <c r="H35" i="11" s="1"/>
  <c r="I23" i="11"/>
  <c r="B119" i="21"/>
  <c r="B120" i="21" l="1"/>
  <c r="B121" i="21" l="1"/>
  <c r="B122" i="21" l="1"/>
  <c r="B123" i="21" l="1"/>
  <c r="B124" i="21" l="1"/>
  <c r="C124" i="21" l="1"/>
  <c r="E124" i="21" s="1"/>
  <c r="D124" i="21"/>
  <c r="F124" i="21" s="1"/>
  <c r="B125" i="21"/>
  <c r="C125" i="21" l="1"/>
  <c r="E125" i="21" s="1"/>
  <c r="D125" i="21"/>
  <c r="F125" i="21" s="1"/>
  <c r="G124" i="21"/>
  <c r="H124" i="21"/>
  <c r="B126" i="21"/>
  <c r="C126" i="21" l="1"/>
  <c r="E126" i="21" s="1"/>
  <c r="D126" i="21"/>
  <c r="F126" i="21" s="1"/>
  <c r="H125" i="21"/>
  <c r="G125" i="21"/>
  <c r="B127" i="21"/>
  <c r="C127" i="21" l="1"/>
  <c r="E127" i="21" s="1"/>
  <c r="D127" i="21"/>
  <c r="F127" i="21" s="1"/>
  <c r="G126" i="21"/>
  <c r="H126" i="21"/>
  <c r="H112" i="18"/>
  <c r="F112" i="18"/>
  <c r="D112" i="18"/>
  <c r="E112" i="18"/>
  <c r="G112" i="18"/>
  <c r="C112" i="18"/>
  <c r="F32" i="18"/>
  <c r="F72" i="18"/>
  <c r="H72" i="18"/>
  <c r="D72" i="18"/>
  <c r="E72" i="18"/>
  <c r="G72" i="18"/>
  <c r="C72" i="18"/>
  <c r="C15" i="10" s="1"/>
  <c r="H32" i="18"/>
  <c r="G37" i="18"/>
  <c r="H37" i="18" s="1"/>
  <c r="G38" i="18"/>
  <c r="H38" i="18" s="1"/>
  <c r="G39" i="18"/>
  <c r="H39" i="18" s="1"/>
  <c r="G40" i="18"/>
  <c r="H40" i="18" s="1"/>
  <c r="G41" i="18"/>
  <c r="H41" i="18" s="1"/>
  <c r="G42" i="18"/>
  <c r="H42" i="18" s="1"/>
  <c r="G43" i="18"/>
  <c r="H43" i="18" s="1"/>
  <c r="G44" i="18"/>
  <c r="H44" i="18" s="1"/>
  <c r="G45" i="18"/>
  <c r="H45" i="18" s="1"/>
  <c r="G46" i="18"/>
  <c r="H46" i="18" s="1"/>
  <c r="G47" i="18"/>
  <c r="H47" i="18" s="1"/>
  <c r="G48" i="18"/>
  <c r="H48" i="18" s="1"/>
  <c r="G49" i="18"/>
  <c r="H49" i="18" s="1"/>
  <c r="G50" i="18"/>
  <c r="H50" i="18" s="1"/>
  <c r="G51" i="18"/>
  <c r="H51" i="18" s="1"/>
  <c r="E37" i="18"/>
  <c r="F37" i="18" s="1"/>
  <c r="E38" i="18"/>
  <c r="F38" i="18" s="1"/>
  <c r="E39" i="18"/>
  <c r="F39" i="18" s="1"/>
  <c r="E40" i="18"/>
  <c r="F40" i="18" s="1"/>
  <c r="E41" i="18"/>
  <c r="F41" i="18" s="1"/>
  <c r="E42" i="18"/>
  <c r="F42" i="18" s="1"/>
  <c r="E43" i="18"/>
  <c r="F43" i="18" s="1"/>
  <c r="E44" i="18"/>
  <c r="F44" i="18" s="1"/>
  <c r="E45" i="18"/>
  <c r="F45" i="18" s="1"/>
  <c r="E46" i="18"/>
  <c r="F46" i="18" s="1"/>
  <c r="E47" i="18"/>
  <c r="F47" i="18" s="1"/>
  <c r="E48" i="18"/>
  <c r="F48" i="18" s="1"/>
  <c r="E49" i="18"/>
  <c r="F49" i="18" s="1"/>
  <c r="E50" i="18"/>
  <c r="F50" i="18" s="1"/>
  <c r="E51" i="18"/>
  <c r="F51" i="18" s="1"/>
  <c r="D32" i="18"/>
  <c r="E32" i="18"/>
  <c r="G32" i="18"/>
  <c r="G127" i="21" l="1"/>
  <c r="H127" i="21"/>
  <c r="D15" i="6" a="1"/>
  <c r="D15" i="6" s="1"/>
  <c r="D27" i="6" s="1"/>
  <c r="G15" i="6" a="1"/>
  <c r="G15" i="6" s="1"/>
  <c r="F15" i="6" a="1"/>
  <c r="F15" i="6" s="1"/>
  <c r="F27" i="6" s="1"/>
  <c r="C15" i="6" a="1"/>
  <c r="C15" i="6" s="1"/>
  <c r="C27" i="6" s="1"/>
  <c r="G14" i="21" a="1"/>
  <c r="G14" i="21" s="1"/>
  <c r="G12" i="21" a="1"/>
  <c r="G12" i="21" s="1"/>
  <c r="G10" i="21" a="1"/>
  <c r="G10" i="21" s="1"/>
  <c r="G11" i="21" a="1"/>
  <c r="G11" i="21" s="1"/>
  <c r="G13" i="21" a="1"/>
  <c r="G13" i="21" s="1"/>
  <c r="G15" i="21" a="1"/>
  <c r="G15" i="21" s="1"/>
  <c r="G16" i="21" a="1"/>
  <c r="G16" i="21" s="1"/>
  <c r="G17" i="21" a="1"/>
  <c r="G17" i="21" s="1"/>
  <c r="G18" i="21" a="1"/>
  <c r="G18" i="21" s="1"/>
  <c r="G19" i="21" a="1"/>
  <c r="G19" i="21" s="1"/>
  <c r="G20" i="21" a="1"/>
  <c r="G20" i="21" s="1"/>
  <c r="G21" i="21" a="1"/>
  <c r="G21" i="21" s="1"/>
  <c r="G22" i="21" a="1"/>
  <c r="G22" i="21" s="1"/>
  <c r="G23" i="21" a="1"/>
  <c r="G23" i="21" s="1"/>
  <c r="G24" i="21" a="1"/>
  <c r="G24" i="21" s="1"/>
  <c r="G25" i="21" a="1"/>
  <c r="G25" i="21" s="1"/>
  <c r="G26" i="21" a="1"/>
  <c r="G26" i="21" s="1"/>
  <c r="G27" i="21" a="1"/>
  <c r="G27" i="21" s="1"/>
  <c r="G28" i="21" a="1"/>
  <c r="G28" i="21" s="1"/>
  <c r="G29" i="21" a="1"/>
  <c r="G29" i="21" s="1"/>
  <c r="G30" i="21" a="1"/>
  <c r="G30" i="21" s="1"/>
  <c r="G31" i="21" a="1"/>
  <c r="G31" i="21" s="1"/>
  <c r="G32" i="21" a="1"/>
  <c r="G32" i="21" s="1"/>
  <c r="G33" i="21" a="1"/>
  <c r="G33" i="21" s="1"/>
  <c r="G34" i="21" a="1"/>
  <c r="G34" i="21" s="1"/>
  <c r="G35" i="21" a="1"/>
  <c r="G35" i="21" s="1"/>
  <c r="G36" i="21" a="1"/>
  <c r="G36" i="21" s="1"/>
  <c r="G37" i="21" a="1"/>
  <c r="G37" i="21" s="1"/>
  <c r="G38" i="21" a="1"/>
  <c r="G38" i="21" s="1"/>
  <c r="G39" i="21" a="1"/>
  <c r="G39" i="21" s="1"/>
  <c r="G40" i="21" a="1"/>
  <c r="G40" i="21" s="1"/>
  <c r="G41" i="21" a="1"/>
  <c r="G41" i="21" s="1"/>
  <c r="E15" i="6" a="1"/>
  <c r="E15" i="6" s="1"/>
  <c r="E27" i="6" s="1"/>
  <c r="F16" i="6" a="1"/>
  <c r="F16" i="6" s="1"/>
  <c r="F28" i="6" s="1"/>
  <c r="G16" i="6" a="1"/>
  <c r="G16" i="6" s="1"/>
  <c r="G51" i="21" a="1"/>
  <c r="G51" i="21" s="1"/>
  <c r="G52" i="21" a="1"/>
  <c r="G52" i="21" s="1"/>
  <c r="G53" i="21" a="1"/>
  <c r="G53" i="21" s="1"/>
  <c r="G54" i="21" a="1"/>
  <c r="G54" i="21" s="1"/>
  <c r="G55" i="21" a="1"/>
  <c r="G55" i="21" s="1"/>
  <c r="G56" i="21" a="1"/>
  <c r="G56" i="21" s="1"/>
  <c r="G57" i="21" a="1"/>
  <c r="G57" i="21" s="1"/>
  <c r="G59" i="21" a="1"/>
  <c r="G59" i="21" s="1"/>
  <c r="G58" i="21" a="1"/>
  <c r="G58" i="21" s="1"/>
  <c r="G60" i="21" a="1"/>
  <c r="G60" i="21" s="1"/>
  <c r="G61" i="21" a="1"/>
  <c r="G61" i="21" s="1"/>
  <c r="G62" i="21" a="1"/>
  <c r="G62" i="21" s="1"/>
  <c r="G63" i="21" a="1"/>
  <c r="G63" i="21" s="1"/>
  <c r="G64" i="21" a="1"/>
  <c r="G64" i="21" s="1"/>
  <c r="G65" i="21" a="1"/>
  <c r="G65" i="21" s="1"/>
  <c r="G66" i="21" a="1"/>
  <c r="G66" i="21" s="1"/>
  <c r="G67" i="21" a="1"/>
  <c r="G67" i="21" s="1"/>
  <c r="G68" i="21" a="1"/>
  <c r="G68" i="21" s="1"/>
  <c r="G69" i="21" a="1"/>
  <c r="G69" i="21" s="1"/>
  <c r="G70" i="21" a="1"/>
  <c r="G70" i="21" s="1"/>
  <c r="G71" i="21" a="1"/>
  <c r="G71" i="21" s="1"/>
  <c r="G72" i="21" a="1"/>
  <c r="G72" i="21" s="1"/>
  <c r="G73" i="21" a="1"/>
  <c r="G73" i="21" s="1"/>
  <c r="G74" i="21" a="1"/>
  <c r="G74" i="21" s="1"/>
  <c r="G75" i="21" a="1"/>
  <c r="G75" i="21" s="1"/>
  <c r="G76" i="21" a="1"/>
  <c r="G76" i="21" s="1"/>
  <c r="G77" i="21" a="1"/>
  <c r="G77" i="21" s="1"/>
  <c r="G78" i="21" a="1"/>
  <c r="G78" i="21" s="1"/>
  <c r="G79" i="21" a="1"/>
  <c r="G79" i="21" s="1"/>
  <c r="G80" i="21" a="1"/>
  <c r="G80" i="21" s="1"/>
  <c r="G81" i="21" a="1"/>
  <c r="G81" i="21" s="1"/>
  <c r="G82" i="21" a="1"/>
  <c r="G82" i="21" s="1"/>
  <c r="C16" i="6" a="1"/>
  <c r="C16" i="6" s="1"/>
  <c r="C28" i="6" s="1"/>
  <c r="E16" i="6" a="1"/>
  <c r="E16" i="6" s="1"/>
  <c r="E28" i="6" s="1"/>
  <c r="D16" i="6" a="1"/>
  <c r="D16" i="6" s="1"/>
  <c r="D28" i="6" s="1"/>
  <c r="H132" i="18"/>
  <c r="F132" i="18"/>
  <c r="H92" i="18"/>
  <c r="F92" i="18"/>
  <c r="F52" i="18"/>
  <c r="G52" i="18"/>
  <c r="H52" i="18"/>
  <c r="E52" i="18"/>
  <c r="I187" i="17"/>
  <c r="E14" i="21" l="1" a="1"/>
  <c r="E14" i="21" s="1"/>
  <c r="E42" i="21" a="1"/>
  <c r="E42" i="21" s="1"/>
  <c r="E43" i="21" a="1"/>
  <c r="E43" i="21" s="1"/>
  <c r="E44" i="21" a="1"/>
  <c r="E44" i="21" s="1"/>
  <c r="E45" i="21" a="1"/>
  <c r="E45" i="21" s="1"/>
  <c r="C123" i="21"/>
  <c r="E123" i="21" s="1"/>
  <c r="D123" i="21"/>
  <c r="F123" i="21" s="1"/>
  <c r="C10" i="21" a="1"/>
  <c r="C10" i="21" s="1"/>
  <c r="C42" i="21" a="1"/>
  <c r="C42" i="21" s="1"/>
  <c r="C43" i="21" a="1"/>
  <c r="C43" i="21" s="1"/>
  <c r="C44" i="21" a="1"/>
  <c r="C44" i="21" s="1"/>
  <c r="C45" i="21" a="1"/>
  <c r="C45" i="21" s="1"/>
  <c r="F13" i="21" a="1"/>
  <c r="F13" i="21" s="1"/>
  <c r="F42" i="21" a="1"/>
  <c r="F42" i="21" s="1"/>
  <c r="F43" i="21" a="1"/>
  <c r="F43" i="21" s="1"/>
  <c r="F44" i="21" a="1"/>
  <c r="F44" i="21" s="1"/>
  <c r="F45" i="21" a="1"/>
  <c r="F45" i="21" s="1"/>
  <c r="D13" i="21" a="1"/>
  <c r="D13" i="21" s="1"/>
  <c r="D42" i="21" a="1"/>
  <c r="D42" i="21" s="1"/>
  <c r="D43" i="21" a="1"/>
  <c r="D43" i="21" s="1"/>
  <c r="D44" i="21" a="1"/>
  <c r="D44" i="21" s="1"/>
  <c r="D45" i="21" a="1"/>
  <c r="D45" i="21" s="1"/>
  <c r="E51" i="21" a="1"/>
  <c r="E51" i="21" s="1"/>
  <c r="E83" i="21" a="1"/>
  <c r="E83" i="21" s="1"/>
  <c r="E84" i="21" a="1"/>
  <c r="E84" i="21" s="1"/>
  <c r="E85" i="21" a="1"/>
  <c r="E85" i="21" s="1"/>
  <c r="E86" i="21" a="1"/>
  <c r="E86" i="21" s="1"/>
  <c r="C51" i="21" a="1"/>
  <c r="C51" i="21" s="1"/>
  <c r="C16" i="27" s="1"/>
  <c r="C83" i="21" a="1"/>
  <c r="C83" i="21" s="1"/>
  <c r="C84" i="21" a="1"/>
  <c r="C84" i="21" s="1"/>
  <c r="C85" i="21" a="1"/>
  <c r="C85" i="21" s="1"/>
  <c r="C50" i="27" s="1"/>
  <c r="C86" i="21" a="1"/>
  <c r="C86" i="21" s="1"/>
  <c r="C51" i="27" s="1"/>
  <c r="F52" i="21" a="1"/>
  <c r="F52" i="21" s="1"/>
  <c r="F83" i="21" a="1"/>
  <c r="F83" i="21" s="1"/>
  <c r="F84" i="21" a="1"/>
  <c r="F84" i="21" s="1"/>
  <c r="F85" i="21" a="1"/>
  <c r="F85" i="21" s="1"/>
  <c r="F86" i="21" a="1"/>
  <c r="F86" i="21" s="1"/>
  <c r="D52" i="21" a="1"/>
  <c r="D52" i="21" s="1"/>
  <c r="D83" i="21" a="1"/>
  <c r="D83" i="21" s="1"/>
  <c r="D84" i="21" a="1"/>
  <c r="D84" i="21" s="1"/>
  <c r="D85" i="21" a="1"/>
  <c r="D85" i="21" s="1"/>
  <c r="D86" i="21" a="1"/>
  <c r="D86" i="21" s="1"/>
  <c r="G28" i="6"/>
  <c r="G27" i="6"/>
  <c r="H32" i="21" s="1" a="1"/>
  <c r="H32" i="21" s="1"/>
  <c r="F15" i="21" a="1"/>
  <c r="F15" i="21" s="1"/>
  <c r="F56" i="21" a="1"/>
  <c r="F56" i="21" s="1"/>
  <c r="C56" i="21" a="1"/>
  <c r="C56" i="21" s="1"/>
  <c r="C21" i="27" s="1"/>
  <c r="E56" i="21" a="1"/>
  <c r="E56" i="21" s="1"/>
  <c r="E15" i="21" a="1"/>
  <c r="E15" i="21" s="1"/>
  <c r="D41" i="21" a="1"/>
  <c r="D41" i="21" s="1"/>
  <c r="D56" i="21" a="1"/>
  <c r="D56" i="21" s="1"/>
  <c r="C15" i="21" a="1"/>
  <c r="C15" i="21" s="1"/>
  <c r="D37" i="21" a="1"/>
  <c r="D37" i="21" s="1"/>
  <c r="D35" i="21" a="1"/>
  <c r="D35" i="21" s="1"/>
  <c r="D33" i="21" a="1"/>
  <c r="D33" i="21" s="1"/>
  <c r="D31" i="21" a="1"/>
  <c r="D31" i="21" s="1"/>
  <c r="D29" i="21" a="1"/>
  <c r="D29" i="21" s="1"/>
  <c r="D28" i="21" a="1"/>
  <c r="D28" i="21" s="1"/>
  <c r="D25" i="21" a="1"/>
  <c r="D25" i="21" s="1"/>
  <c r="H15" i="21" a="1"/>
  <c r="H15" i="21" s="1"/>
  <c r="D15" i="21" a="1"/>
  <c r="D15" i="21" s="1"/>
  <c r="D23" i="21" a="1"/>
  <c r="D23" i="21" s="1"/>
  <c r="D22" i="21" a="1"/>
  <c r="D22" i="21" s="1"/>
  <c r="D21" i="21" a="1"/>
  <c r="D21" i="21" s="1"/>
  <c r="D17" i="21" a="1"/>
  <c r="D17" i="21" s="1"/>
  <c r="D11" i="21" a="1"/>
  <c r="D11" i="21" s="1"/>
  <c r="D10" i="21" a="1"/>
  <c r="D10" i="21" s="1"/>
  <c r="C40" i="21" a="1"/>
  <c r="C40" i="21" s="1"/>
  <c r="C34" i="21" a="1"/>
  <c r="C34" i="21" s="1"/>
  <c r="C28" i="21" a="1"/>
  <c r="C28" i="21" s="1"/>
  <c r="C29" i="21" a="1"/>
  <c r="C29" i="21" s="1"/>
  <c r="D40" i="21" a="1"/>
  <c r="D40" i="21" s="1"/>
  <c r="D19" i="21" a="1"/>
  <c r="D19" i="21" s="1"/>
  <c r="D34" i="21" a="1"/>
  <c r="D34" i="21" s="1"/>
  <c r="D14" i="21" a="1"/>
  <c r="D14" i="21" s="1"/>
  <c r="C39" i="21" a="1"/>
  <c r="C39" i="21" s="1"/>
  <c r="C35" i="21" a="1"/>
  <c r="C35" i="21" s="1"/>
  <c r="D32" i="21" a="1"/>
  <c r="D32" i="21" s="1"/>
  <c r="D20" i="21" a="1"/>
  <c r="D20" i="21" s="1"/>
  <c r="C33" i="21" a="1"/>
  <c r="C33" i="21" s="1"/>
  <c r="D30" i="21" a="1"/>
  <c r="D30" i="21" s="1"/>
  <c r="D18" i="21" a="1"/>
  <c r="D18" i="21" s="1"/>
  <c r="C27" i="21" a="1"/>
  <c r="C27" i="21" s="1"/>
  <c r="H31" i="21" a="1"/>
  <c r="H31" i="21" s="1"/>
  <c r="D39" i="21" a="1"/>
  <c r="D39" i="21" s="1"/>
  <c r="D27" i="21" a="1"/>
  <c r="D27" i="21" s="1"/>
  <c r="D16" i="21" a="1"/>
  <c r="D16" i="21" s="1"/>
  <c r="C22" i="21" a="1"/>
  <c r="C22" i="21" s="1"/>
  <c r="D38" i="21" a="1"/>
  <c r="D38" i="21" s="1"/>
  <c r="D26" i="21" a="1"/>
  <c r="D26" i="21" s="1"/>
  <c r="D12" i="21" a="1"/>
  <c r="D12" i="21" s="1"/>
  <c r="C20" i="21" a="1"/>
  <c r="C20" i="21" s="1"/>
  <c r="C19" i="21" a="1"/>
  <c r="C19" i="21" s="1"/>
  <c r="D36" i="21" a="1"/>
  <c r="D36" i="21" s="1"/>
  <c r="D24" i="21" a="1"/>
  <c r="D24" i="21" s="1"/>
  <c r="C41" i="21" a="1"/>
  <c r="C41" i="21" s="1"/>
  <c r="H41" i="21" a="1"/>
  <c r="H41" i="21" s="1"/>
  <c r="H16" i="21" a="1"/>
  <c r="H16" i="21" s="1"/>
  <c r="F41" i="21" a="1"/>
  <c r="F41" i="21" s="1"/>
  <c r="E40" i="21" a="1"/>
  <c r="E40" i="21" s="1"/>
  <c r="C38" i="21" a="1"/>
  <c r="C38" i="21" s="1"/>
  <c r="C32" i="21" a="1"/>
  <c r="C32" i="21" s="1"/>
  <c r="C26" i="21" a="1"/>
  <c r="C26" i="21" s="1"/>
  <c r="C11" i="21" a="1"/>
  <c r="C11" i="21" s="1"/>
  <c r="F35" i="21" a="1"/>
  <c r="F35" i="21" s="1"/>
  <c r="E31" i="21" a="1"/>
  <c r="E31" i="21" s="1"/>
  <c r="C37" i="21" a="1"/>
  <c r="C37" i="21" s="1"/>
  <c r="C31" i="21" a="1"/>
  <c r="C31" i="21" s="1"/>
  <c r="C25" i="21" a="1"/>
  <c r="C25" i="21" s="1"/>
  <c r="C13" i="21" a="1"/>
  <c r="C13" i="21" s="1"/>
  <c r="F28" i="21" a="1"/>
  <c r="F28" i="21" s="1"/>
  <c r="E21" i="21" a="1"/>
  <c r="E21" i="21" s="1"/>
  <c r="C36" i="21" a="1"/>
  <c r="C36" i="21" s="1"/>
  <c r="C30" i="21" a="1"/>
  <c r="C30" i="21" s="1"/>
  <c r="C23" i="21" a="1"/>
  <c r="C23" i="21" s="1"/>
  <c r="C16" i="21" a="1"/>
  <c r="C16" i="21" s="1"/>
  <c r="F20" i="21" a="1"/>
  <c r="F20" i="21" s="1"/>
  <c r="H23" i="21" a="1"/>
  <c r="H23" i="21" s="1"/>
  <c r="H22" i="21" a="1"/>
  <c r="H22" i="21" s="1"/>
  <c r="E36" i="21" a="1"/>
  <c r="E36" i="21" s="1"/>
  <c r="E27" i="21" a="1"/>
  <c r="E27" i="21" s="1"/>
  <c r="E10" i="21" a="1"/>
  <c r="E10" i="21" s="1"/>
  <c r="F38" i="21" a="1"/>
  <c r="F38" i="21" s="1"/>
  <c r="F32" i="21" a="1"/>
  <c r="F32" i="21" s="1"/>
  <c r="F24" i="21" a="1"/>
  <c r="F24" i="21" s="1"/>
  <c r="F11" i="21" a="1"/>
  <c r="F11" i="21" s="1"/>
  <c r="E34" i="21" a="1"/>
  <c r="E34" i="21" s="1"/>
  <c r="E25" i="21" a="1"/>
  <c r="E25" i="21" s="1"/>
  <c r="E16" i="21" a="1"/>
  <c r="E16" i="21" s="1"/>
  <c r="F37" i="21" a="1"/>
  <c r="F37" i="21" s="1"/>
  <c r="F30" i="21" a="1"/>
  <c r="F30" i="21" s="1"/>
  <c r="F23" i="21" a="1"/>
  <c r="F23" i="21" s="1"/>
  <c r="F10" i="21" a="1"/>
  <c r="F10" i="21" s="1"/>
  <c r="E33" i="21" a="1"/>
  <c r="E33" i="21" s="1"/>
  <c r="E22" i="21" a="1"/>
  <c r="E22" i="21" s="1"/>
  <c r="C14" i="21" a="1"/>
  <c r="C14" i="21" s="1"/>
  <c r="F36" i="21" a="1"/>
  <c r="F36" i="21" s="1"/>
  <c r="F29" i="21" a="1"/>
  <c r="F29" i="21" s="1"/>
  <c r="F21" i="21" a="1"/>
  <c r="F21" i="21" s="1"/>
  <c r="E39" i="21" a="1"/>
  <c r="E39" i="21" s="1"/>
  <c r="E30" i="21" a="1"/>
  <c r="E30" i="21" s="1"/>
  <c r="E19" i="21" a="1"/>
  <c r="E19" i="21" s="1"/>
  <c r="F40" i="21" a="1"/>
  <c r="F40" i="21" s="1"/>
  <c r="F34" i="21" a="1"/>
  <c r="F34" i="21" s="1"/>
  <c r="F27" i="21" a="1"/>
  <c r="F27" i="21" s="1"/>
  <c r="F18" i="21" a="1"/>
  <c r="F18" i="21" s="1"/>
  <c r="E37" i="21" a="1"/>
  <c r="E37" i="21" s="1"/>
  <c r="E28" i="21" a="1"/>
  <c r="E28" i="21" s="1"/>
  <c r="E12" i="21" a="1"/>
  <c r="E12" i="21" s="1"/>
  <c r="F39" i="21" a="1"/>
  <c r="F39" i="21" s="1"/>
  <c r="F33" i="21" a="1"/>
  <c r="F33" i="21" s="1"/>
  <c r="F26" i="21" a="1"/>
  <c r="F26" i="21" s="1"/>
  <c r="F17" i="21" a="1"/>
  <c r="F17" i="21" s="1"/>
  <c r="F82" i="21" a="1"/>
  <c r="F82" i="21" s="1"/>
  <c r="C65" i="21" a="1"/>
  <c r="C65" i="21" s="1"/>
  <c r="C30" i="27" s="1"/>
  <c r="F76" i="21" a="1"/>
  <c r="F76" i="21" s="1"/>
  <c r="C17" i="21" a="1"/>
  <c r="C17" i="21" s="1"/>
  <c r="F70" i="21" a="1"/>
  <c r="F70" i="21" s="1"/>
  <c r="F62" i="21" a="1"/>
  <c r="F62" i="21" s="1"/>
  <c r="C21" i="21" a="1"/>
  <c r="C21" i="21" s="1"/>
  <c r="C12" i="21" a="1"/>
  <c r="C12" i="21" s="1"/>
  <c r="F14" i="21" a="1"/>
  <c r="F14" i="21" s="1"/>
  <c r="F81" i="21" a="1"/>
  <c r="F81" i="21" s="1"/>
  <c r="F75" i="21" a="1"/>
  <c r="F75" i="21" s="1"/>
  <c r="F67" i="21" a="1"/>
  <c r="F67" i="21" s="1"/>
  <c r="F58" i="21" a="1"/>
  <c r="F58" i="21" s="1"/>
  <c r="F80" i="21" a="1"/>
  <c r="F80" i="21" s="1"/>
  <c r="F74" i="21" a="1"/>
  <c r="F74" i="21" s="1"/>
  <c r="F66" i="21" a="1"/>
  <c r="F66" i="21" s="1"/>
  <c r="F59" i="21" a="1"/>
  <c r="F59" i="21" s="1"/>
  <c r="E38" i="21" a="1"/>
  <c r="E38" i="21" s="1"/>
  <c r="E32" i="21" a="1"/>
  <c r="E32" i="21" s="1"/>
  <c r="E26" i="21" a="1"/>
  <c r="E26" i="21" s="1"/>
  <c r="E20" i="21" a="1"/>
  <c r="E20" i="21" s="1"/>
  <c r="E13" i="21" a="1"/>
  <c r="E13" i="21" s="1"/>
  <c r="G46" i="21"/>
  <c r="G33" i="6" s="1"/>
  <c r="F22" i="21" a="1"/>
  <c r="F22" i="21" s="1"/>
  <c r="F16" i="21" a="1"/>
  <c r="F16" i="21" s="1"/>
  <c r="F79" i="21" a="1"/>
  <c r="F79" i="21" s="1"/>
  <c r="F73" i="21" a="1"/>
  <c r="F73" i="21" s="1"/>
  <c r="F65" i="21" a="1"/>
  <c r="F65" i="21" s="1"/>
  <c r="F51" i="21" a="1"/>
  <c r="F51" i="21" s="1"/>
  <c r="F78" i="21" a="1"/>
  <c r="F78" i="21" s="1"/>
  <c r="F72" i="21" a="1"/>
  <c r="F72" i="21" s="1"/>
  <c r="F64" i="21" a="1"/>
  <c r="F64" i="21" s="1"/>
  <c r="F55" i="21" a="1"/>
  <c r="F55" i="21" s="1"/>
  <c r="E24" i="21" a="1"/>
  <c r="E24" i="21" s="1"/>
  <c r="E18" i="21" a="1"/>
  <c r="E18" i="21" s="1"/>
  <c r="E11" i="21" a="1"/>
  <c r="E11" i="21" s="1"/>
  <c r="F12" i="21" a="1"/>
  <c r="F12" i="21" s="1"/>
  <c r="E76" i="21" a="1"/>
  <c r="E76" i="21" s="1"/>
  <c r="F77" i="21" a="1"/>
  <c r="F77" i="21" s="1"/>
  <c r="F71" i="21" a="1"/>
  <c r="F71" i="21" s="1"/>
  <c r="F63" i="21" a="1"/>
  <c r="F63" i="21" s="1"/>
  <c r="E41" i="21" a="1"/>
  <c r="E41" i="21" s="1"/>
  <c r="E35" i="21" a="1"/>
  <c r="E35" i="21" s="1"/>
  <c r="E29" i="21" a="1"/>
  <c r="E29" i="21" s="1"/>
  <c r="E23" i="21" a="1"/>
  <c r="E23" i="21" s="1"/>
  <c r="E17" i="21" a="1"/>
  <c r="E17" i="21" s="1"/>
  <c r="C24" i="21" a="1"/>
  <c r="C24" i="21" s="1"/>
  <c r="C18" i="21" a="1"/>
  <c r="C18" i="21" s="1"/>
  <c r="F31" i="21" a="1"/>
  <c r="F31" i="21" s="1"/>
  <c r="F25" i="21" a="1"/>
  <c r="F25" i="21" s="1"/>
  <c r="F19" i="21" a="1"/>
  <c r="F19" i="21" s="1"/>
  <c r="C120" i="21"/>
  <c r="E120" i="21" s="1"/>
  <c r="D120" i="21"/>
  <c r="F120" i="21" s="1"/>
  <c r="D114" i="21"/>
  <c r="F114" i="21" s="1"/>
  <c r="C114" i="21"/>
  <c r="E114" i="21" s="1"/>
  <c r="C108" i="21"/>
  <c r="E108" i="21" s="1"/>
  <c r="D108" i="21"/>
  <c r="F108" i="21" s="1"/>
  <c r="D102" i="21"/>
  <c r="F102" i="21" s="1"/>
  <c r="C102" i="21"/>
  <c r="E102" i="21" s="1"/>
  <c r="E75" i="21" a="1"/>
  <c r="E75" i="21" s="1"/>
  <c r="D119" i="21"/>
  <c r="F119" i="21" s="1"/>
  <c r="C119" i="21"/>
  <c r="E119" i="21" s="1"/>
  <c r="D113" i="21"/>
  <c r="F113" i="21" s="1"/>
  <c r="C113" i="21"/>
  <c r="E113" i="21" s="1"/>
  <c r="D107" i="21"/>
  <c r="F107" i="21" s="1"/>
  <c r="C107" i="21"/>
  <c r="E107" i="21" s="1"/>
  <c r="D101" i="21"/>
  <c r="F101" i="21" s="1"/>
  <c r="C101" i="21"/>
  <c r="E101" i="21" s="1"/>
  <c r="E70" i="21" a="1"/>
  <c r="E70" i="21" s="1"/>
  <c r="C118" i="21"/>
  <c r="E118" i="21" s="1"/>
  <c r="D118" i="21"/>
  <c r="F118" i="21" s="1"/>
  <c r="C112" i="21"/>
  <c r="E112" i="21" s="1"/>
  <c r="D112" i="21"/>
  <c r="F112" i="21" s="1"/>
  <c r="D106" i="21"/>
  <c r="F106" i="21" s="1"/>
  <c r="C106" i="21"/>
  <c r="E106" i="21" s="1"/>
  <c r="C99" i="21"/>
  <c r="E99" i="21" s="1"/>
  <c r="D99" i="21"/>
  <c r="F99" i="21" s="1"/>
  <c r="D117" i="21"/>
  <c r="F117" i="21" s="1"/>
  <c r="C117" i="21"/>
  <c r="E117" i="21" s="1"/>
  <c r="D111" i="21"/>
  <c r="F111" i="21" s="1"/>
  <c r="C111" i="21"/>
  <c r="E111" i="21" s="1"/>
  <c r="C105" i="21"/>
  <c r="E105" i="21" s="1"/>
  <c r="D105" i="21"/>
  <c r="F105" i="21" s="1"/>
  <c r="D100" i="21"/>
  <c r="F100" i="21" s="1"/>
  <c r="C100" i="21"/>
  <c r="E100" i="21" s="1"/>
  <c r="C122" i="21"/>
  <c r="E122" i="21" s="1"/>
  <c r="D122" i="21"/>
  <c r="F122" i="21" s="1"/>
  <c r="D116" i="21"/>
  <c r="F116" i="21" s="1"/>
  <c r="C116" i="21"/>
  <c r="E116" i="21" s="1"/>
  <c r="D110" i="21"/>
  <c r="F110" i="21" s="1"/>
  <c r="C110" i="21"/>
  <c r="E110" i="21" s="1"/>
  <c r="C104" i="21"/>
  <c r="E104" i="21" s="1"/>
  <c r="D104" i="21"/>
  <c r="F104" i="21" s="1"/>
  <c r="D98" i="21"/>
  <c r="F98" i="21" s="1"/>
  <c r="C98" i="21"/>
  <c r="E98" i="21" s="1"/>
  <c r="E69" i="21" a="1"/>
  <c r="E69" i="21" s="1"/>
  <c r="E64" i="21" a="1"/>
  <c r="E64" i="21" s="1"/>
  <c r="E82" i="21" a="1"/>
  <c r="E82" i="21" s="1"/>
  <c r="D121" i="21"/>
  <c r="F121" i="21" s="1"/>
  <c r="C121" i="21"/>
  <c r="E121" i="21" s="1"/>
  <c r="D115" i="21"/>
  <c r="F115" i="21" s="1"/>
  <c r="C115" i="21"/>
  <c r="E115" i="21" s="1"/>
  <c r="D109" i="21"/>
  <c r="F109" i="21" s="1"/>
  <c r="C109" i="21"/>
  <c r="E109" i="21" s="1"/>
  <c r="C103" i="21"/>
  <c r="E103" i="21" s="1"/>
  <c r="D103" i="21"/>
  <c r="F103" i="21" s="1"/>
  <c r="H82" i="21" a="1"/>
  <c r="H82" i="21" s="1"/>
  <c r="G87" i="21"/>
  <c r="G34" i="6" s="1"/>
  <c r="H81" i="21" a="1"/>
  <c r="H81" i="21" s="1"/>
  <c r="H74" i="21" a="1"/>
  <c r="H74" i="21" s="1"/>
  <c r="D82" i="21" a="1"/>
  <c r="D82" i="21" s="1"/>
  <c r="C81" i="21" a="1"/>
  <c r="C81" i="21" s="1"/>
  <c r="C46" i="27" s="1"/>
  <c r="D80" i="21" a="1"/>
  <c r="D80" i="21" s="1"/>
  <c r="E81" i="21" a="1"/>
  <c r="E81" i="21" s="1"/>
  <c r="E53" i="21" a="1"/>
  <c r="E53" i="21" s="1"/>
  <c r="C80" i="21" a="1"/>
  <c r="C80" i="21" s="1"/>
  <c r="C45" i="27" s="1"/>
  <c r="D74" i="21" a="1"/>
  <c r="D74" i="21" s="1"/>
  <c r="C74" i="21" a="1"/>
  <c r="C74" i="21" s="1"/>
  <c r="C39" i="27" s="1"/>
  <c r="H79" i="21" a="1"/>
  <c r="H79" i="21" s="1"/>
  <c r="H67" i="21" a="1"/>
  <c r="H67" i="21" s="1"/>
  <c r="D64" i="21" a="1"/>
  <c r="D64" i="21" s="1"/>
  <c r="C73" i="21" a="1"/>
  <c r="C73" i="21" s="1"/>
  <c r="C38" i="27" s="1"/>
  <c r="H78" i="21" a="1"/>
  <c r="H78" i="21" s="1"/>
  <c r="H66" i="21" a="1"/>
  <c r="H66" i="21" s="1"/>
  <c r="H76" i="21" a="1"/>
  <c r="H76" i="21" s="1"/>
  <c r="D63" i="21" a="1"/>
  <c r="D63" i="21" s="1"/>
  <c r="E63" i="21" a="1"/>
  <c r="E63" i="21" s="1"/>
  <c r="E55" i="21" a="1"/>
  <c r="E55" i="21" s="1"/>
  <c r="C64" i="21" a="1"/>
  <c r="C64" i="21" s="1"/>
  <c r="C29" i="27" s="1"/>
  <c r="D72" i="21" a="1"/>
  <c r="D72" i="21" s="1"/>
  <c r="D79" i="21" a="1"/>
  <c r="D79" i="21" s="1"/>
  <c r="D71" i="21" a="1"/>
  <c r="D71" i="21" s="1"/>
  <c r="D60" i="21" a="1"/>
  <c r="D60" i="21" s="1"/>
  <c r="E80" i="21" a="1"/>
  <c r="E80" i="21" s="1"/>
  <c r="E74" i="21" a="1"/>
  <c r="E74" i="21" s="1"/>
  <c r="E68" i="21" a="1"/>
  <c r="E68" i="21" s="1"/>
  <c r="E61" i="21" a="1"/>
  <c r="E61" i="21" s="1"/>
  <c r="E57" i="21" a="1"/>
  <c r="E57" i="21" s="1"/>
  <c r="C79" i="21" a="1"/>
  <c r="C79" i="21" s="1"/>
  <c r="C44" i="27" s="1"/>
  <c r="C72" i="21" a="1"/>
  <c r="C72" i="21" s="1"/>
  <c r="C37" i="27" s="1"/>
  <c r="C62" i="21" a="1"/>
  <c r="C62" i="21" s="1"/>
  <c r="C27" i="27" s="1"/>
  <c r="H65" i="21" a="1"/>
  <c r="H65" i="21" s="1"/>
  <c r="D78" i="21" a="1"/>
  <c r="D78" i="21" s="1"/>
  <c r="D70" i="21" a="1"/>
  <c r="D70" i="21" s="1"/>
  <c r="D58" i="21" a="1"/>
  <c r="D58" i="21" s="1"/>
  <c r="E79" i="21" a="1"/>
  <c r="E79" i="21" s="1"/>
  <c r="E73" i="21" a="1"/>
  <c r="E73" i="21" s="1"/>
  <c r="E67" i="21" a="1"/>
  <c r="E67" i="21" s="1"/>
  <c r="E60" i="21" a="1"/>
  <c r="E60" i="21" s="1"/>
  <c r="E54" i="21" a="1"/>
  <c r="E54" i="21" s="1"/>
  <c r="C49" i="27"/>
  <c r="C78" i="21" a="1"/>
  <c r="C78" i="21" s="1"/>
  <c r="C43" i="27" s="1"/>
  <c r="C70" i="21" a="1"/>
  <c r="C70" i="21" s="1"/>
  <c r="C35" i="27" s="1"/>
  <c r="C60" i="21" a="1"/>
  <c r="C60" i="21" s="1"/>
  <c r="C25" i="27" s="1"/>
  <c r="H70" i="21" a="1"/>
  <c r="H70" i="21" s="1"/>
  <c r="H61" i="21" a="1"/>
  <c r="H61" i="21" s="1"/>
  <c r="D76" i="21" a="1"/>
  <c r="D76" i="21" s="1"/>
  <c r="D68" i="21" a="1"/>
  <c r="D68" i="21" s="1"/>
  <c r="D59" i="21" a="1"/>
  <c r="D59" i="21" s="1"/>
  <c r="E78" i="21" a="1"/>
  <c r="E78" i="21" s="1"/>
  <c r="E72" i="21" a="1"/>
  <c r="E72" i="21" s="1"/>
  <c r="E66" i="21" a="1"/>
  <c r="E66" i="21" s="1"/>
  <c r="E59" i="21" a="1"/>
  <c r="E59" i="21" s="1"/>
  <c r="E52" i="21" a="1"/>
  <c r="E52" i="21" s="1"/>
  <c r="C48" i="27"/>
  <c r="C77" i="21" a="1"/>
  <c r="C77" i="21" s="1"/>
  <c r="C42" i="27" s="1"/>
  <c r="C69" i="21" a="1"/>
  <c r="C69" i="21" s="1"/>
  <c r="C34" i="27" s="1"/>
  <c r="H77" i="21" a="1"/>
  <c r="H77" i="21" s="1"/>
  <c r="H69" i="21" a="1"/>
  <c r="H69" i="21" s="1"/>
  <c r="H54" i="21" a="1"/>
  <c r="H54" i="21" s="1"/>
  <c r="D75" i="21" a="1"/>
  <c r="D75" i="21" s="1"/>
  <c r="D66" i="21" a="1"/>
  <c r="D66" i="21" s="1"/>
  <c r="D51" i="21" a="1"/>
  <c r="D51" i="21" s="1"/>
  <c r="E77" i="21" a="1"/>
  <c r="E77" i="21" s="1"/>
  <c r="E71" i="21" a="1"/>
  <c r="E71" i="21" s="1"/>
  <c r="E65" i="21" a="1"/>
  <c r="E65" i="21" s="1"/>
  <c r="E58" i="21" a="1"/>
  <c r="E58" i="21" s="1"/>
  <c r="C82" i="21" a="1"/>
  <c r="C82" i="21" s="1"/>
  <c r="C47" i="27" s="1"/>
  <c r="C76" i="21" a="1"/>
  <c r="C76" i="21" s="1"/>
  <c r="C41" i="27" s="1"/>
  <c r="C68" i="21" a="1"/>
  <c r="C68" i="21" s="1"/>
  <c r="C33" i="27" s="1"/>
  <c r="C55" i="21" a="1"/>
  <c r="C55" i="21" s="1"/>
  <c r="C20" i="27" s="1"/>
  <c r="H68" i="21" a="1"/>
  <c r="H68" i="21" s="1"/>
  <c r="C52" i="21" a="1"/>
  <c r="C52" i="21" s="1"/>
  <c r="C17" i="27" s="1"/>
  <c r="D62" i="21" a="1"/>
  <c r="D62" i="21" s="1"/>
  <c r="C61" i="21" a="1"/>
  <c r="C61" i="21" s="1"/>
  <c r="C26" i="27" s="1"/>
  <c r="H62" i="21" a="1"/>
  <c r="H62" i="21" s="1"/>
  <c r="C59" i="21" a="1"/>
  <c r="C59" i="21" s="1"/>
  <c r="C24" i="27" s="1"/>
  <c r="H58" i="21" a="1"/>
  <c r="H58" i="21" s="1"/>
  <c r="C57" i="21" a="1"/>
  <c r="C57" i="21" s="1"/>
  <c r="C22" i="27" s="1"/>
  <c r="H59" i="21" a="1"/>
  <c r="H59" i="21" s="1"/>
  <c r="D67" i="21" a="1"/>
  <c r="D67" i="21" s="1"/>
  <c r="D54" i="21" a="1"/>
  <c r="D54" i="21" s="1"/>
  <c r="C66" i="21" a="1"/>
  <c r="C66" i="21" s="1"/>
  <c r="C31" i="27" s="1"/>
  <c r="H55" i="21" a="1"/>
  <c r="H55" i="21" s="1"/>
  <c r="D81" i="21" a="1"/>
  <c r="D81" i="21" s="1"/>
  <c r="D73" i="21" a="1"/>
  <c r="D73" i="21" s="1"/>
  <c r="D65" i="21" a="1"/>
  <c r="D65" i="21" s="1"/>
  <c r="D57" i="21" a="1"/>
  <c r="D57" i="21" s="1"/>
  <c r="E62" i="21" a="1"/>
  <c r="E62" i="21" s="1"/>
  <c r="C75" i="21" a="1"/>
  <c r="C75" i="21" s="1"/>
  <c r="C40" i="27" s="1"/>
  <c r="C67" i="21" a="1"/>
  <c r="C67" i="21" s="1"/>
  <c r="C32" i="27" s="1"/>
  <c r="C58" i="21" a="1"/>
  <c r="C58" i="21" s="1"/>
  <c r="C23" i="27" s="1"/>
  <c r="C54" i="21" a="1"/>
  <c r="C54" i="21" s="1"/>
  <c r="C19" i="27" s="1"/>
  <c r="E97" i="21"/>
  <c r="F97" i="21"/>
  <c r="H60" i="21" a="1"/>
  <c r="H60" i="21" s="1"/>
  <c r="H51" i="21" a="1"/>
  <c r="H51" i="21" s="1"/>
  <c r="F57" i="21" a="1"/>
  <c r="F57" i="21" s="1"/>
  <c r="D55" i="21" a="1"/>
  <c r="D55" i="21" s="1"/>
  <c r="F53" i="21" a="1"/>
  <c r="F53" i="21" s="1"/>
  <c r="D77" i="21" a="1"/>
  <c r="D77" i="21" s="1"/>
  <c r="D69" i="21" a="1"/>
  <c r="D69" i="21" s="1"/>
  <c r="D61" i="21" a="1"/>
  <c r="D61" i="21" s="1"/>
  <c r="D53" i="21" a="1"/>
  <c r="D53" i="21" s="1"/>
  <c r="C71" i="21" a="1"/>
  <c r="C71" i="21" s="1"/>
  <c r="C36" i="27" s="1"/>
  <c r="C63" i="21" a="1"/>
  <c r="C63" i="21" s="1"/>
  <c r="C28" i="27" s="1"/>
  <c r="C53" i="21" a="1"/>
  <c r="C53" i="21" s="1"/>
  <c r="H72" i="21" a="1"/>
  <c r="H72" i="21" s="1"/>
  <c r="H64" i="21" a="1"/>
  <c r="H64" i="21" s="1"/>
  <c r="H53" i="21" a="1"/>
  <c r="H53" i="21" s="1"/>
  <c r="F69" i="21" a="1"/>
  <c r="F69" i="21" s="1"/>
  <c r="F61" i="21" a="1"/>
  <c r="F61" i="21" s="1"/>
  <c r="F54" i="21" a="1"/>
  <c r="F54" i="21" s="1"/>
  <c r="H71" i="21" a="1"/>
  <c r="H71" i="21" s="1"/>
  <c r="H63" i="21" a="1"/>
  <c r="H63" i="21" s="1"/>
  <c r="H57" i="21" a="1"/>
  <c r="H57" i="21" s="1"/>
  <c r="F68" i="21" a="1"/>
  <c r="F68" i="21" s="1"/>
  <c r="F60" i="21" a="1"/>
  <c r="F60" i="21" s="1"/>
  <c r="F152" i="18"/>
  <c r="H152" i="18"/>
  <c r="H217" i="17"/>
  <c r="G217" i="17"/>
  <c r="F217" i="17"/>
  <c r="E217" i="17"/>
  <c r="D217" i="17"/>
  <c r="C217" i="17"/>
  <c r="H36" i="21" l="1" a="1"/>
  <c r="H36" i="21" s="1"/>
  <c r="H19" i="21" a="1"/>
  <c r="H19" i="21" s="1"/>
  <c r="H40" i="21" a="1"/>
  <c r="H40" i="21" s="1"/>
  <c r="H14" i="21" a="1"/>
  <c r="H14" i="21" s="1"/>
  <c r="G123" i="21"/>
  <c r="H123" i="21"/>
  <c r="H28" i="21" a="1"/>
  <c r="H28" i="21" s="1"/>
  <c r="H17" i="21" a="1"/>
  <c r="H17" i="21" s="1"/>
  <c r="H18" i="21" a="1"/>
  <c r="H18" i="21" s="1"/>
  <c r="H24" i="21" a="1"/>
  <c r="H24" i="21" s="1"/>
  <c r="H52" i="21" a="1"/>
  <c r="H52" i="21" s="1"/>
  <c r="H83" i="21" a="1"/>
  <c r="H83" i="21" s="1"/>
  <c r="H84" i="21" a="1"/>
  <c r="H84" i="21" s="1"/>
  <c r="H85" i="21" a="1"/>
  <c r="H85" i="21" s="1"/>
  <c r="H86" i="21" a="1"/>
  <c r="H86" i="21" s="1"/>
  <c r="H10" i="21" a="1"/>
  <c r="H10" i="21" s="1"/>
  <c r="H42" i="21" a="1"/>
  <c r="H42" i="21" s="1"/>
  <c r="H43" i="21" a="1"/>
  <c r="H43" i="21" s="1"/>
  <c r="H44" i="21" a="1"/>
  <c r="H44" i="21" s="1"/>
  <c r="H45" i="21" a="1"/>
  <c r="H45" i="21" s="1"/>
  <c r="H12" i="21" a="1"/>
  <c r="H12" i="21" s="1"/>
  <c r="H25" i="21" a="1"/>
  <c r="H25" i="21" s="1"/>
  <c r="H34" i="21" a="1"/>
  <c r="H34" i="21" s="1"/>
  <c r="H27" i="21" a="1"/>
  <c r="H27" i="21" s="1"/>
  <c r="H13" i="21" a="1"/>
  <c r="H13" i="21" s="1"/>
  <c r="H30" i="21" a="1"/>
  <c r="H30" i="21" s="1"/>
  <c r="H20" i="21" a="1"/>
  <c r="H20" i="21" s="1"/>
  <c r="H29" i="21" a="1"/>
  <c r="H29" i="21" s="1"/>
  <c r="H11" i="21" a="1"/>
  <c r="H11" i="21" s="1"/>
  <c r="H26" i="21" a="1"/>
  <c r="H26" i="21" s="1"/>
  <c r="H35" i="21" a="1"/>
  <c r="H35" i="21" s="1"/>
  <c r="H37" i="21" a="1"/>
  <c r="H37" i="21" s="1"/>
  <c r="H21" i="21" a="1"/>
  <c r="H21" i="21" s="1"/>
  <c r="H33" i="21" a="1"/>
  <c r="H33" i="21" s="1"/>
  <c r="H38" i="21" a="1"/>
  <c r="H38" i="21" s="1"/>
  <c r="H39" i="21" a="1"/>
  <c r="H39" i="21" s="1"/>
  <c r="H75" i="21" a="1"/>
  <c r="H75" i="21" s="1"/>
  <c r="H56" i="21" a="1"/>
  <c r="H56" i="21" s="1"/>
  <c r="H73" i="21" a="1"/>
  <c r="H73" i="21" s="1"/>
  <c r="H80" i="21" a="1"/>
  <c r="H80" i="21" s="1"/>
  <c r="G98" i="21"/>
  <c r="D46" i="21"/>
  <c r="D33" i="6" s="1"/>
  <c r="G35" i="6"/>
  <c r="C46" i="21"/>
  <c r="C33" i="6" s="1"/>
  <c r="F46" i="21"/>
  <c r="F33" i="6" s="1"/>
  <c r="E46" i="21"/>
  <c r="E33" i="6" s="1"/>
  <c r="H16" i="6" a="1"/>
  <c r="H16" i="6" s="1"/>
  <c r="H28" i="6" s="1"/>
  <c r="E87" i="21"/>
  <c r="E34" i="6" s="1"/>
  <c r="F87" i="21"/>
  <c r="F34" i="6" s="1"/>
  <c r="D87" i="21"/>
  <c r="D34" i="6" s="1"/>
  <c r="C87" i="21"/>
  <c r="C34" i="6" s="1"/>
  <c r="C18" i="27"/>
  <c r="H114" i="21"/>
  <c r="G114" i="21"/>
  <c r="G119" i="21"/>
  <c r="H119" i="21"/>
  <c r="G105" i="21"/>
  <c r="H105" i="21"/>
  <c r="G115" i="21"/>
  <c r="H115" i="21"/>
  <c r="G101" i="21"/>
  <c r="H101" i="21"/>
  <c r="G120" i="21"/>
  <c r="H120" i="21"/>
  <c r="H102" i="21"/>
  <c r="G102" i="21"/>
  <c r="H113" i="21"/>
  <c r="G113" i="21"/>
  <c r="H122" i="21"/>
  <c r="G122" i="21"/>
  <c r="G99" i="21"/>
  <c r="H99" i="21"/>
  <c r="G109" i="21"/>
  <c r="H109" i="21"/>
  <c r="G103" i="21"/>
  <c r="H103" i="21"/>
  <c r="G121" i="21"/>
  <c r="H121" i="21"/>
  <c r="H100" i="21"/>
  <c r="G100" i="21"/>
  <c r="H108" i="21"/>
  <c r="G108" i="21"/>
  <c r="H117" i="21"/>
  <c r="G117" i="21"/>
  <c r="G110" i="21"/>
  <c r="H110" i="21"/>
  <c r="H104" i="21"/>
  <c r="G104" i="21"/>
  <c r="F128" i="21"/>
  <c r="H98" i="21"/>
  <c r="G118" i="21"/>
  <c r="H118" i="21"/>
  <c r="G111" i="21"/>
  <c r="H111" i="21"/>
  <c r="H97" i="21"/>
  <c r="G97" i="21"/>
  <c r="E128" i="21"/>
  <c r="G106" i="21"/>
  <c r="H106" i="21"/>
  <c r="H107" i="21"/>
  <c r="G107" i="21"/>
  <c r="H116" i="21"/>
  <c r="G116" i="21"/>
  <c r="H112" i="21"/>
  <c r="G112" i="21"/>
  <c r="E187" i="17"/>
  <c r="D187" i="17"/>
  <c r="F187" i="17"/>
  <c r="E17" i="26" s="1"/>
  <c r="I35" i="11"/>
  <c r="H87" i="21" l="1"/>
  <c r="H46" i="21"/>
  <c r="D35" i="6"/>
  <c r="C35" i="6"/>
  <c r="I28" i="6"/>
  <c r="I16" i="6"/>
  <c r="E35" i="6"/>
  <c r="F35" i="6"/>
  <c r="H128" i="21"/>
  <c r="M48" i="26" s="1"/>
  <c r="G128" i="21"/>
  <c r="H34" i="6" s="1"/>
  <c r="I34" i="6" s="1"/>
  <c r="F52" i="26" l="1"/>
  <c r="I35" i="6"/>
  <c r="H35" i="6" l="1"/>
  <c r="C27" i="4"/>
  <c r="B130" i="4" s="1"/>
  <c r="G18" i="4"/>
  <c r="G19" i="4"/>
  <c r="G20" i="4"/>
  <c r="G21" i="4"/>
  <c r="G22" i="4"/>
  <c r="G23" i="4"/>
  <c r="G24" i="4"/>
  <c r="G25" i="4"/>
  <c r="G26" i="4"/>
  <c r="H24" i="4" l="1"/>
  <c r="H25" i="4"/>
  <c r="H23" i="4"/>
  <c r="H26" i="4"/>
  <c r="A13" i="26"/>
  <c r="A14" i="26" s="1"/>
  <c r="A15" i="26" s="1"/>
  <c r="A16" i="26" s="1"/>
  <c r="A17" i="26" s="1"/>
  <c r="A18" i="26" s="1"/>
  <c r="A19" i="26" s="1"/>
  <c r="A20" i="26" s="1"/>
  <c r="A21" i="26" s="1"/>
  <c r="A22" i="26" s="1"/>
  <c r="A23" i="26" s="1"/>
  <c r="A24" i="26" s="1"/>
  <c r="A25" i="26" s="1"/>
  <c r="A26" i="26" s="1"/>
  <c r="A27" i="26" s="1"/>
  <c r="A28" i="26" s="1"/>
  <c r="A29" i="26" s="1"/>
  <c r="A30" i="26" s="1"/>
  <c r="A31" i="26" s="1"/>
  <c r="A32" i="26" s="1"/>
  <c r="A33" i="26" s="1"/>
  <c r="A34" i="26" s="1"/>
  <c r="A35" i="26" s="1"/>
  <c r="A36" i="26" s="1"/>
  <c r="A37" i="26" s="1"/>
  <c r="A38" i="26" s="1"/>
  <c r="A39" i="26" s="1"/>
  <c r="A40" i="26" s="1"/>
  <c r="A41" i="26" s="1"/>
  <c r="A42" i="26" s="1"/>
  <c r="A43" i="26" s="1"/>
  <c r="B12" i="26"/>
  <c r="B13" i="26" s="1"/>
  <c r="B14" i="26" s="1"/>
  <c r="B15" i="26" s="1"/>
  <c r="B16" i="26" s="1"/>
  <c r="B17" i="26" s="1"/>
  <c r="B18" i="26" s="1"/>
  <c r="B19" i="26" s="1"/>
  <c r="B20" i="26" s="1"/>
  <c r="B21" i="26" s="1"/>
  <c r="B22" i="26" s="1"/>
  <c r="B23" i="26" s="1"/>
  <c r="B24" i="26" s="1"/>
  <c r="B25" i="26" s="1"/>
  <c r="B26" i="26" s="1"/>
  <c r="B27" i="26" s="1"/>
  <c r="B28" i="26" s="1"/>
  <c r="B29" i="26" s="1"/>
  <c r="B30" i="26" s="1"/>
  <c r="B31" i="26" s="1"/>
  <c r="B32" i="26" s="1"/>
  <c r="B33" i="26" s="1"/>
  <c r="B34" i="26" s="1"/>
  <c r="B35" i="26" s="1"/>
  <c r="B36" i="26" s="1"/>
  <c r="B37" i="26" s="1"/>
  <c r="B38" i="26" s="1"/>
  <c r="B39" i="26" s="1"/>
  <c r="B40" i="26" s="1"/>
  <c r="B41" i="26" s="1"/>
  <c r="B42" i="26" s="1"/>
  <c r="B43" i="26" s="1"/>
  <c r="A44" i="26" l="1"/>
  <c r="B44" i="26"/>
  <c r="B45" i="26" s="1"/>
  <c r="B46" i="26" s="1"/>
  <c r="B47" i="26" s="1"/>
  <c r="B48" i="26" s="1"/>
  <c r="B49" i="26" s="1"/>
  <c r="B50" i="26" s="1"/>
  <c r="B51" i="26" s="1"/>
  <c r="C25" i="2"/>
  <c r="C26" i="2" s="1"/>
  <c r="C27" i="2" s="1"/>
  <c r="C28" i="2" s="1"/>
  <c r="C29" i="2" s="1"/>
  <c r="C30" i="2" s="1"/>
  <c r="C31" i="2" s="1"/>
  <c r="C32" i="2" s="1"/>
  <c r="C33" i="2" s="1"/>
  <c r="C34" i="2" s="1"/>
  <c r="C35" i="2" s="1"/>
  <c r="C36" i="2" s="1"/>
  <c r="C37" i="2" s="1"/>
  <c r="C38" i="2" s="1"/>
  <c r="C39" i="2" s="1"/>
  <c r="C40" i="2" s="1"/>
  <c r="C41" i="2" s="1"/>
  <c r="C42" i="2" s="1"/>
  <c r="C43" i="2" s="1"/>
  <c r="C44" i="2" s="1"/>
  <c r="C45" i="2" s="1"/>
  <c r="C46" i="2" s="1"/>
  <c r="C47" i="2" s="1"/>
  <c r="C48" i="2" s="1"/>
  <c r="C49" i="2" s="1"/>
  <c r="C50" i="2" s="1"/>
  <c r="C51" i="2" s="1"/>
  <c r="C52" i="2" s="1"/>
  <c r="C53" i="2" s="1"/>
  <c r="C54" i="2" s="1"/>
  <c r="C55" i="2" s="1"/>
  <c r="C56" i="2" s="1"/>
  <c r="C57" i="2" s="1"/>
  <c r="C58" i="2" s="1"/>
  <c r="C59" i="2" s="1"/>
  <c r="A45" i="26" l="1"/>
  <c r="I90" i="26"/>
  <c r="H90" i="26"/>
  <c r="A46" i="26" l="1"/>
  <c r="H91" i="26"/>
  <c r="I91" i="26"/>
  <c r="D27" i="4"/>
  <c r="D130" i="4" s="1"/>
  <c r="F27" i="4"/>
  <c r="F130" i="4" s="1"/>
  <c r="G25" i="8"/>
  <c r="A47" i="26" l="1"/>
  <c r="I92" i="26"/>
  <c r="H92" i="26"/>
  <c r="F16" i="27"/>
  <c r="D22" i="27"/>
  <c r="D23" i="27"/>
  <c r="D35" i="27"/>
  <c r="D47" i="27"/>
  <c r="D24" i="27"/>
  <c r="D36" i="27"/>
  <c r="D49" i="27"/>
  <c r="D48" i="27"/>
  <c r="D25" i="27"/>
  <c r="D37" i="27"/>
  <c r="D26" i="27"/>
  <c r="D38" i="27"/>
  <c r="D50" i="27"/>
  <c r="D39" i="27"/>
  <c r="D51" i="27"/>
  <c r="D29" i="27"/>
  <c r="D27" i="27"/>
  <c r="D17" i="27"/>
  <c r="D16" i="27"/>
  <c r="D28" i="27"/>
  <c r="D40" i="27"/>
  <c r="D41" i="27"/>
  <c r="D18" i="27"/>
  <c r="D30" i="27"/>
  <c r="D42" i="27"/>
  <c r="D19" i="27"/>
  <c r="D31" i="27"/>
  <c r="D43" i="27"/>
  <c r="D34" i="27"/>
  <c r="D46" i="27"/>
  <c r="D20" i="27"/>
  <c r="D32" i="27"/>
  <c r="D44" i="27"/>
  <c r="D21" i="27"/>
  <c r="D33" i="27"/>
  <c r="D45" i="27"/>
  <c r="B3" i="29"/>
  <c r="H93" i="26" l="1"/>
  <c r="I93" i="26"/>
  <c r="A48" i="26"/>
  <c r="A49" i="26" s="1"/>
  <c r="A50" i="26" s="1"/>
  <c r="A51" i="26" s="1"/>
  <c r="E16" i="27"/>
  <c r="H18" i="4"/>
  <c r="H218" i="17" l="1"/>
  <c r="G218" i="17" l="1"/>
  <c r="E218" i="17" l="1"/>
  <c r="D218" i="17"/>
  <c r="C3" i="25" l="1"/>
  <c r="G16" i="8" l="1"/>
  <c r="B3" i="8"/>
  <c r="B3" i="13"/>
  <c r="G27" i="8" l="1"/>
  <c r="D10" i="25" l="1"/>
  <c r="D3" i="25"/>
  <c r="E3" i="25" l="1"/>
  <c r="E10" i="25"/>
  <c r="F10" i="25" s="1"/>
  <c r="F3" i="25" l="1"/>
  <c r="G3" i="25"/>
  <c r="F17" i="27" l="1"/>
  <c r="E17" i="27" l="1"/>
  <c r="F18" i="27"/>
  <c r="E18" i="27" s="1"/>
  <c r="F19" i="27" l="1"/>
  <c r="E19" i="27" l="1"/>
  <c r="F20" i="27"/>
  <c r="E20" i="27" s="1"/>
  <c r="F21" i="27" l="1"/>
  <c r="E21" i="27" l="1"/>
  <c r="F22" i="27"/>
  <c r="E22" i="27" l="1"/>
  <c r="F23" i="27"/>
  <c r="E23" i="27" l="1"/>
  <c r="F218" i="17"/>
  <c r="C218" i="17"/>
  <c r="F24" i="27"/>
  <c r="E24" i="27" l="1"/>
  <c r="F25" i="27"/>
  <c r="E25" i="27" l="1"/>
  <c r="F26" i="27"/>
  <c r="B32" i="10" l="1"/>
  <c r="D63" i="26" s="1"/>
  <c r="G63" i="26" s="1"/>
  <c r="B31" i="10"/>
  <c r="C61" i="26"/>
  <c r="G61" i="26" s="1"/>
  <c r="H27" i="2" s="1"/>
  <c r="C60" i="26"/>
  <c r="C59" i="26"/>
  <c r="E26" i="27"/>
  <c r="F27" i="27"/>
  <c r="G60" i="26" l="1"/>
  <c r="H26" i="2" s="1"/>
  <c r="C98" i="26"/>
  <c r="E27" i="27"/>
  <c r="F28" i="27"/>
  <c r="D62" i="26"/>
  <c r="E16" i="13"/>
  <c r="E17" i="13"/>
  <c r="E18" i="13"/>
  <c r="E19" i="13"/>
  <c r="E20" i="13"/>
  <c r="E15" i="13"/>
  <c r="D98" i="26" l="1"/>
  <c r="G62" i="26"/>
  <c r="H28" i="2" s="1"/>
  <c r="E28" i="27"/>
  <c r="F29" i="27"/>
  <c r="H3" i="25"/>
  <c r="H10" i="25"/>
  <c r="I10" i="25" s="1"/>
  <c r="E29" i="27" l="1"/>
  <c r="F30" i="27"/>
  <c r="K10" i="25"/>
  <c r="J10" i="25"/>
  <c r="E30" i="27" l="1"/>
  <c r="F31" i="27"/>
  <c r="J3" i="25"/>
  <c r="K3" i="25"/>
  <c r="E31" i="27" l="1"/>
  <c r="F32" i="27"/>
  <c r="H22" i="4"/>
  <c r="E32" i="27" l="1"/>
  <c r="F33" i="27"/>
  <c r="H19" i="4"/>
  <c r="H21" i="4"/>
  <c r="H20" i="4"/>
  <c r="E33" i="27" l="1"/>
  <c r="F34" i="27"/>
  <c r="H27" i="4"/>
  <c r="E34" i="27" l="1"/>
  <c r="I217" i="17"/>
  <c r="F35" i="27"/>
  <c r="C17" i="26" l="1"/>
  <c r="E35" i="27"/>
  <c r="I218" i="17"/>
  <c r="F36" i="27"/>
  <c r="E36" i="27" l="1"/>
  <c r="F37" i="27"/>
  <c r="E37" i="27" l="1"/>
  <c r="F38" i="27"/>
  <c r="E38" i="27" l="1"/>
  <c r="F39" i="27"/>
  <c r="E39" i="27" l="1"/>
  <c r="F40" i="27"/>
  <c r="E40" i="27" l="1"/>
  <c r="F41" i="27"/>
  <c r="E41" i="27" l="1"/>
  <c r="F42" i="27"/>
  <c r="C52" i="27"/>
  <c r="E42" i="27" l="1"/>
  <c r="F43" i="27"/>
  <c r="E43" i="27" l="1"/>
  <c r="F44" i="27"/>
  <c r="C12" i="29"/>
  <c r="D12" i="29" s="1"/>
  <c r="E12" i="29" s="1"/>
  <c r="E44" i="27" l="1"/>
  <c r="F45" i="27"/>
  <c r="E45" i="27" l="1"/>
  <c r="F46" i="27"/>
  <c r="E46" i="27" l="1"/>
  <c r="F47" i="27"/>
  <c r="E47" i="27" l="1"/>
  <c r="F48" i="27"/>
  <c r="E48" i="27" l="1"/>
  <c r="F49" i="27"/>
  <c r="E49" i="27" l="1"/>
  <c r="F50" i="27"/>
  <c r="E50" i="27" l="1"/>
  <c r="F51" i="27"/>
  <c r="F52" i="27" s="1"/>
  <c r="D52" i="27"/>
  <c r="E51" i="27" l="1"/>
  <c r="E52" i="27" s="1"/>
  <c r="C11" i="13" l="1"/>
  <c r="K9" i="13" l="1"/>
  <c r="K10" i="13" s="1"/>
  <c r="K11" i="13" l="1"/>
  <c r="K12" i="13" s="1"/>
  <c r="K14" i="13" s="1"/>
  <c r="C7" i="25" l="1"/>
  <c r="D7" i="25" s="1"/>
  <c r="E7" i="25" s="1"/>
  <c r="F7" i="25" s="1"/>
  <c r="H29" i="2"/>
  <c r="C8" i="25" l="1"/>
  <c r="D8" i="25" s="1"/>
  <c r="E8" i="25" s="1"/>
  <c r="F8" i="25" s="1"/>
  <c r="C6" i="25"/>
  <c r="D6" i="25" s="1"/>
  <c r="E6" i="25" s="1"/>
  <c r="F6" i="25" s="1"/>
  <c r="C9" i="25"/>
  <c r="D9" i="25" s="1"/>
  <c r="E9" i="25" s="1"/>
  <c r="F9" i="25" s="1"/>
  <c r="H63" i="26"/>
  <c r="I63" i="26"/>
  <c r="H7" i="25"/>
  <c r="H62" i="26" l="1"/>
  <c r="J28" i="2"/>
  <c r="H61" i="26"/>
  <c r="J27" i="2"/>
  <c r="I60" i="26"/>
  <c r="H60" i="26"/>
  <c r="J29" i="2"/>
  <c r="I61" i="26"/>
  <c r="I62" i="26"/>
  <c r="H5" i="25"/>
  <c r="J5" i="25" s="1"/>
  <c r="H4" i="25"/>
  <c r="H8" i="25"/>
  <c r="K7" i="25"/>
  <c r="J7" i="25"/>
  <c r="H9" i="25"/>
  <c r="H6" i="25"/>
  <c r="I26" i="2"/>
  <c r="J26" i="2"/>
  <c r="M15" i="26" l="1"/>
  <c r="N15" i="26" s="1"/>
  <c r="E27" i="2" s="1"/>
  <c r="H32" i="2"/>
  <c r="H66" i="26"/>
  <c r="I66" i="26"/>
  <c r="H30" i="2"/>
  <c r="I64" i="26"/>
  <c r="H64" i="26"/>
  <c r="H43" i="2"/>
  <c r="H77" i="26"/>
  <c r="I77" i="26"/>
  <c r="H49" i="2"/>
  <c r="I83" i="26"/>
  <c r="H83" i="26"/>
  <c r="H54" i="2"/>
  <c r="H88" i="26"/>
  <c r="I88" i="26"/>
  <c r="H38" i="2"/>
  <c r="H72" i="26"/>
  <c r="I72" i="26"/>
  <c r="H57" i="2"/>
  <c r="H34" i="2"/>
  <c r="I68" i="26"/>
  <c r="H68" i="26"/>
  <c r="H41" i="2"/>
  <c r="H75" i="26"/>
  <c r="I75" i="26"/>
  <c r="H33" i="2"/>
  <c r="I67" i="26"/>
  <c r="H67" i="26"/>
  <c r="H53" i="2"/>
  <c r="I87" i="26"/>
  <c r="H87" i="26"/>
  <c r="H44" i="2"/>
  <c r="I78" i="26"/>
  <c r="H78" i="26"/>
  <c r="H51" i="2"/>
  <c r="H85" i="26"/>
  <c r="I85" i="26"/>
  <c r="H42" i="2"/>
  <c r="H76" i="26"/>
  <c r="I76" i="26"/>
  <c r="H59" i="2"/>
  <c r="H52" i="2"/>
  <c r="H86" i="26"/>
  <c r="I86" i="26"/>
  <c r="H55" i="2"/>
  <c r="H89" i="26"/>
  <c r="I89" i="26"/>
  <c r="H50" i="2"/>
  <c r="H84" i="26"/>
  <c r="I84" i="26"/>
  <c r="H31" i="2"/>
  <c r="I65" i="26"/>
  <c r="H65" i="26"/>
  <c r="H37" i="2"/>
  <c r="I71" i="26"/>
  <c r="H71" i="26"/>
  <c r="H35" i="2"/>
  <c r="H69" i="26"/>
  <c r="I69" i="26"/>
  <c r="H40" i="2"/>
  <c r="H74" i="26"/>
  <c r="I74" i="26"/>
  <c r="H47" i="2"/>
  <c r="H81" i="26"/>
  <c r="I81" i="26"/>
  <c r="H46" i="2"/>
  <c r="I80" i="26"/>
  <c r="H80" i="26"/>
  <c r="H39" i="2"/>
  <c r="H73" i="26"/>
  <c r="I73" i="26"/>
  <c r="H48" i="2"/>
  <c r="I82" i="26"/>
  <c r="H82" i="26"/>
  <c r="H45" i="2"/>
  <c r="I79" i="26"/>
  <c r="H79" i="26"/>
  <c r="H58" i="2"/>
  <c r="H36" i="2"/>
  <c r="I70" i="26"/>
  <c r="H70" i="26"/>
  <c r="H56" i="2"/>
  <c r="I27" i="2"/>
  <c r="I28" i="2"/>
  <c r="I29" i="2"/>
  <c r="M13" i="26"/>
  <c r="K5" i="25"/>
  <c r="J9" i="25"/>
  <c r="K9" i="25"/>
  <c r="J6" i="25"/>
  <c r="K6" i="25"/>
  <c r="G11" i="25"/>
  <c r="D27" i="2"/>
  <c r="O15" i="26"/>
  <c r="J8" i="25"/>
  <c r="K8" i="25"/>
  <c r="M12" i="26"/>
  <c r="H11" i="25"/>
  <c r="M14" i="26" l="1"/>
  <c r="N14" i="26" s="1"/>
  <c r="E26" i="2" s="1"/>
  <c r="M16" i="26"/>
  <c r="N16" i="26" s="1"/>
  <c r="E28" i="2" s="1"/>
  <c r="I58" i="2"/>
  <c r="J58" i="2"/>
  <c r="I37" i="2"/>
  <c r="J37" i="2"/>
  <c r="J42" i="2"/>
  <c r="I42" i="2"/>
  <c r="J44" i="2"/>
  <c r="I44" i="2"/>
  <c r="I33" i="2"/>
  <c r="J33" i="2"/>
  <c r="J34" i="2"/>
  <c r="I34" i="2"/>
  <c r="I56" i="2"/>
  <c r="J56" i="2"/>
  <c r="J52" i="2"/>
  <c r="I52" i="2"/>
  <c r="J38" i="2"/>
  <c r="I38" i="2"/>
  <c r="I49" i="2"/>
  <c r="J49" i="2"/>
  <c r="I30" i="2"/>
  <c r="J30" i="2"/>
  <c r="J40" i="2"/>
  <c r="I40" i="2"/>
  <c r="J36" i="2"/>
  <c r="I36" i="2"/>
  <c r="I45" i="2"/>
  <c r="J45" i="2"/>
  <c r="J39" i="2"/>
  <c r="I39" i="2"/>
  <c r="I47" i="2"/>
  <c r="J47" i="2"/>
  <c r="I35" i="2"/>
  <c r="J35" i="2"/>
  <c r="I31" i="2"/>
  <c r="J31" i="2"/>
  <c r="J55" i="2"/>
  <c r="I55" i="2"/>
  <c r="J59" i="2"/>
  <c r="I59" i="2"/>
  <c r="J46" i="2"/>
  <c r="I46" i="2"/>
  <c r="I50" i="2"/>
  <c r="J50" i="2"/>
  <c r="I51" i="2"/>
  <c r="J51" i="2"/>
  <c r="J53" i="2"/>
  <c r="I53" i="2"/>
  <c r="I41" i="2"/>
  <c r="J41" i="2"/>
  <c r="J48" i="2"/>
  <c r="I48" i="2"/>
  <c r="J57" i="2"/>
  <c r="I57" i="2"/>
  <c r="J54" i="2"/>
  <c r="I54" i="2"/>
  <c r="J43" i="2"/>
  <c r="I43" i="2"/>
  <c r="J32" i="2"/>
  <c r="I32" i="2"/>
  <c r="D25" i="2"/>
  <c r="F25" i="2" s="1"/>
  <c r="N13" i="26"/>
  <c r="E25" i="2" s="1"/>
  <c r="O13" i="26"/>
  <c r="D26" i="2"/>
  <c r="O14" i="26"/>
  <c r="I11" i="25"/>
  <c r="K4" i="25"/>
  <c r="J4" i="25"/>
  <c r="F27" i="2"/>
  <c r="D28" i="2"/>
  <c r="O16" i="26"/>
  <c r="F28" i="2" l="1"/>
  <c r="F26" i="2"/>
  <c r="N12" i="26"/>
  <c r="E24" i="2" s="1"/>
  <c r="O12" i="26" l="1"/>
  <c r="D24" i="2"/>
  <c r="F24" i="2" l="1"/>
  <c r="E27" i="40" l="1"/>
  <c r="E33" i="40" s="1"/>
  <c r="F27" i="40" l="1"/>
  <c r="F33" i="40" s="1"/>
  <c r="G27" i="40"/>
  <c r="G33" i="40" s="1"/>
  <c r="H27" i="40"/>
  <c r="H33" i="40" s="1"/>
  <c r="H34" i="40" l="1"/>
  <c r="I34" i="40"/>
  <c r="K19" i="26" l="1"/>
  <c r="K31" i="26"/>
  <c r="K21" i="26"/>
  <c r="K41" i="26"/>
  <c r="K26" i="26"/>
  <c r="K23" i="26"/>
  <c r="K35" i="26"/>
  <c r="K43" i="26"/>
  <c r="K30" i="26"/>
  <c r="K27" i="26"/>
  <c r="K39" i="26"/>
  <c r="K29" i="26"/>
  <c r="K38" i="26"/>
  <c r="K24" i="26"/>
  <c r="K40" i="26"/>
  <c r="K33" i="26"/>
  <c r="K22" i="26"/>
  <c r="K28" i="26"/>
  <c r="K32" i="26"/>
  <c r="K42" i="26"/>
  <c r="K20" i="26"/>
  <c r="K36" i="26"/>
  <c r="K25" i="26"/>
  <c r="K34" i="26"/>
  <c r="K37" i="26"/>
  <c r="K52" i="26" l="1"/>
  <c r="C29" i="11" l="1" a="1"/>
  <c r="C29" i="11" s="1"/>
  <c r="G29" i="11" a="1"/>
  <c r="G29" i="11" s="1"/>
  <c r="G187" i="17" s="1"/>
  <c r="H29" i="11" a="1"/>
  <c r="H29" i="11" s="1"/>
  <c r="H187" i="17" s="1"/>
  <c r="I29" i="11" l="1"/>
  <c r="C187" i="17"/>
  <c r="D17" i="26" s="1"/>
  <c r="M17" i="26" l="1"/>
  <c r="D29" i="2" l="1"/>
  <c r="O17" i="26"/>
  <c r="N17" i="26"/>
  <c r="E29" i="2" l="1"/>
  <c r="F29" i="2"/>
  <c r="C53" i="17"/>
  <c r="E53" i="17"/>
  <c r="F53" i="17"/>
  <c r="G53" i="17"/>
  <c r="H53" i="17"/>
  <c r="D53" i="17"/>
  <c r="C18" i="11" a="1"/>
  <c r="C18" i="11" s="1"/>
  <c r="C146" i="17" l="1"/>
  <c r="C30" i="11" l="1" a="1"/>
  <c r="C30" i="11" s="1"/>
  <c r="C19" i="11" a="1"/>
  <c r="C19" i="11" s="1"/>
  <c r="C147" i="17"/>
  <c r="C188" i="17"/>
  <c r="C20" i="11" a="1"/>
  <c r="C20" i="11" s="1"/>
  <c r="C148" i="17"/>
  <c r="C149" i="17" l="1"/>
  <c r="C21" i="11" a="1"/>
  <c r="C21" i="11" s="1"/>
  <c r="C32" i="11" a="1"/>
  <c r="C32" i="11" s="1"/>
  <c r="C31" i="11" a="1"/>
  <c r="C31" i="11" s="1"/>
  <c r="C150" i="17" l="1"/>
  <c r="C190" i="17"/>
  <c r="C33" i="11" a="1"/>
  <c r="C33" i="11" s="1"/>
  <c r="C189" i="17"/>
  <c r="C191" i="17" l="1"/>
  <c r="C151" i="17"/>
  <c r="C152" i="17" l="1"/>
  <c r="C192" i="17"/>
  <c r="C153" i="17" l="1"/>
  <c r="C193" i="17"/>
  <c r="C194" i="17" l="1"/>
  <c r="C154" i="17"/>
  <c r="C195" i="17" l="1"/>
  <c r="C155" i="17"/>
  <c r="C156" i="17" l="1"/>
  <c r="C196" i="17"/>
  <c r="C197" i="17" l="1"/>
  <c r="C157" i="17"/>
  <c r="C158" i="17" l="1"/>
  <c r="C198" i="17"/>
  <c r="C199" i="17" l="1"/>
  <c r="C159" i="17"/>
  <c r="C160" i="17" l="1"/>
  <c r="C200" i="17"/>
  <c r="C161" i="17" l="1"/>
  <c r="C201" i="17"/>
  <c r="C162" i="17" l="1"/>
  <c r="C202" i="17"/>
  <c r="C163" i="17" l="1"/>
  <c r="C203" i="17"/>
  <c r="C204" i="17" l="1"/>
  <c r="C164" i="17"/>
  <c r="C205" i="17" l="1"/>
  <c r="C165" i="17"/>
  <c r="C206" i="17" l="1"/>
  <c r="C166" i="17"/>
  <c r="C167" i="17" l="1"/>
  <c r="C207" i="17"/>
  <c r="C168" i="17" l="1"/>
  <c r="C208" i="17"/>
  <c r="C169" i="17" l="1"/>
  <c r="C209" i="17"/>
  <c r="C210" i="17" l="1"/>
  <c r="C170" i="17"/>
  <c r="C211" i="17" l="1"/>
  <c r="C171" i="17"/>
  <c r="C172" i="17" l="1"/>
  <c r="C94" i="17"/>
  <c r="C212" i="17"/>
  <c r="C213" i="17" l="1"/>
  <c r="C173" i="17"/>
  <c r="C24" i="11" l="1"/>
  <c r="C135" i="17"/>
  <c r="C174" i="17"/>
  <c r="C214" i="17"/>
  <c r="C215" i="17" l="1"/>
  <c r="C176" i="17"/>
  <c r="C41" i="11" s="1"/>
  <c r="C36" i="11"/>
  <c r="C216" i="17" l="1"/>
  <c r="I53" i="17"/>
  <c r="H146" i="17"/>
  <c r="H18" i="11" a="1"/>
  <c r="H18" i="11" s="1"/>
  <c r="E146" i="17"/>
  <c r="I64" i="17"/>
  <c r="G146" i="17"/>
  <c r="G30" i="11" s="1" a="1"/>
  <c r="G30" i="11" s="1"/>
  <c r="G188" i="17" s="1"/>
  <c r="F146" i="17"/>
  <c r="E18" i="26" s="1"/>
  <c r="D18" i="11" a="1"/>
  <c r="D18" i="11" s="1"/>
  <c r="D146" i="17" l="1"/>
  <c r="D18" i="26" s="1"/>
  <c r="E30" i="11" a="1"/>
  <c r="E30" i="11" s="1"/>
  <c r="E188" i="17" s="1"/>
  <c r="G147" i="17"/>
  <c r="G31" i="11" s="1" a="1"/>
  <c r="G31" i="11" s="1"/>
  <c r="G189" i="17" s="1"/>
  <c r="G19" i="11" a="1"/>
  <c r="G19" i="11" s="1"/>
  <c r="D19" i="11" a="1"/>
  <c r="D19" i="11" s="1"/>
  <c r="D147" i="17"/>
  <c r="E19" i="11" a="1"/>
  <c r="E19" i="11" s="1"/>
  <c r="E147" i="17"/>
  <c r="E31" i="11" s="1" a="1"/>
  <c r="E31" i="11" s="1"/>
  <c r="E189" i="17" s="1"/>
  <c r="F20" i="11" a="1"/>
  <c r="F20" i="11" s="1"/>
  <c r="F148" i="17"/>
  <c r="E20" i="26" s="1"/>
  <c r="F147" i="17"/>
  <c r="E19" i="26" s="1"/>
  <c r="F19" i="11" a="1"/>
  <c r="F19" i="11" s="1"/>
  <c r="D30" i="11" a="1"/>
  <c r="D30" i="11" s="1"/>
  <c r="I105" i="17"/>
  <c r="I65" i="17"/>
  <c r="I146" i="17"/>
  <c r="E18" i="11" a="1"/>
  <c r="E18" i="11" s="1"/>
  <c r="H30" i="11" a="1"/>
  <c r="H30" i="11" s="1"/>
  <c r="H188" i="17" s="1"/>
  <c r="F30" i="11" a="1"/>
  <c r="F30" i="11" s="1"/>
  <c r="F188" i="17" s="1"/>
  <c r="G18" i="11" a="1"/>
  <c r="G18" i="11" s="1"/>
  <c r="F18" i="11" a="1"/>
  <c r="F18" i="11" s="1"/>
  <c r="D19" i="26" l="1"/>
  <c r="I18" i="11"/>
  <c r="H147" i="17"/>
  <c r="H19" i="11" a="1"/>
  <c r="H19" i="11" s="1"/>
  <c r="I19" i="11" s="1"/>
  <c r="G148" i="17"/>
  <c r="G20" i="11" a="1"/>
  <c r="G20" i="11" s="1"/>
  <c r="D31" i="11" a="1"/>
  <c r="D31" i="11" s="1"/>
  <c r="I106" i="17"/>
  <c r="D21" i="11" a="1"/>
  <c r="D21" i="11" s="1"/>
  <c r="D149" i="17"/>
  <c r="H148" i="17"/>
  <c r="H32" i="11" s="1" a="1"/>
  <c r="H32" i="11" s="1"/>
  <c r="H190" i="17" s="1"/>
  <c r="H20" i="11" a="1"/>
  <c r="H20" i="11" s="1"/>
  <c r="D20" i="11" a="1"/>
  <c r="D20" i="11" s="1"/>
  <c r="D148" i="17"/>
  <c r="G150" i="17"/>
  <c r="F31" i="11" a="1"/>
  <c r="F31" i="11" s="1"/>
  <c r="F189" i="17" s="1"/>
  <c r="H150" i="17"/>
  <c r="G149" i="17"/>
  <c r="G33" i="11" s="1" a="1"/>
  <c r="G33" i="11" s="1"/>
  <c r="G191" i="17" s="1"/>
  <c r="G21" i="11" a="1"/>
  <c r="G21" i="11" s="1"/>
  <c r="I66" i="17"/>
  <c r="D188" i="17"/>
  <c r="I188" i="17" s="1"/>
  <c r="I30" i="11"/>
  <c r="F32" i="11" a="1"/>
  <c r="F32" i="11" s="1"/>
  <c r="F190" i="17" s="1"/>
  <c r="H149" i="17"/>
  <c r="H33" i="11" s="1" a="1"/>
  <c r="H33" i="11" s="1"/>
  <c r="H191" i="17" s="1"/>
  <c r="H21" i="11" a="1"/>
  <c r="H21" i="11" s="1"/>
  <c r="E148" i="17" l="1"/>
  <c r="D20" i="26" s="1"/>
  <c r="E20" i="11" a="1"/>
  <c r="E20" i="11" s="1"/>
  <c r="I67" i="17"/>
  <c r="D33" i="11" a="1"/>
  <c r="D33" i="11" s="1"/>
  <c r="G32" i="11" a="1"/>
  <c r="G32" i="11" s="1"/>
  <c r="G190" i="17" s="1"/>
  <c r="G192" i="17"/>
  <c r="G193" i="17" s="1"/>
  <c r="G194" i="17" s="1"/>
  <c r="G195" i="17" s="1"/>
  <c r="G196" i="17" s="1"/>
  <c r="G197" i="17" s="1"/>
  <c r="G198" i="17" s="1"/>
  <c r="G199" i="17" s="1"/>
  <c r="G200" i="17" s="1"/>
  <c r="G201" i="17" s="1"/>
  <c r="G202" i="17" s="1"/>
  <c r="G203" i="17" s="1"/>
  <c r="G204" i="17" s="1"/>
  <c r="G205" i="17" s="1"/>
  <c r="G206" i="17" s="1"/>
  <c r="G207" i="17" s="1"/>
  <c r="G208" i="17" s="1"/>
  <c r="G209" i="17" s="1"/>
  <c r="G210" i="17" s="1"/>
  <c r="G211" i="17" s="1"/>
  <c r="G212" i="17" s="1"/>
  <c r="G213" i="17" s="1"/>
  <c r="G214" i="17" s="1"/>
  <c r="G215" i="17" s="1"/>
  <c r="G216" i="17" s="1"/>
  <c r="D32" i="11" a="1"/>
  <c r="D32" i="11" s="1"/>
  <c r="F150" i="17"/>
  <c r="E22" i="26" s="1"/>
  <c r="D189" i="17"/>
  <c r="H31" i="11" a="1"/>
  <c r="H31" i="11" s="1"/>
  <c r="H189" i="17" s="1"/>
  <c r="H192" i="17"/>
  <c r="H193" i="17" s="1"/>
  <c r="H194" i="17" s="1"/>
  <c r="H195" i="17" s="1"/>
  <c r="H196" i="17" s="1"/>
  <c r="H197" i="17" s="1"/>
  <c r="H198" i="17" s="1"/>
  <c r="H199" i="17" s="1"/>
  <c r="H200" i="17" s="1"/>
  <c r="H201" i="17" s="1"/>
  <c r="H202" i="17" s="1"/>
  <c r="H203" i="17" s="1"/>
  <c r="H204" i="17" s="1"/>
  <c r="H205" i="17" s="1"/>
  <c r="H206" i="17" s="1"/>
  <c r="H207" i="17" s="1"/>
  <c r="H208" i="17" s="1"/>
  <c r="H209" i="17" s="1"/>
  <c r="H210" i="17" s="1"/>
  <c r="H211" i="17" s="1"/>
  <c r="H212" i="17" s="1"/>
  <c r="H213" i="17" s="1"/>
  <c r="H214" i="17" s="1"/>
  <c r="H215" i="17" s="1"/>
  <c r="H216" i="17" s="1"/>
  <c r="D150" i="17"/>
  <c r="I107" i="17"/>
  <c r="F21" i="11" a="1"/>
  <c r="F21" i="11" s="1"/>
  <c r="F149" i="17"/>
  <c r="E21" i="26" s="1"/>
  <c r="I20" i="11"/>
  <c r="I147" i="17"/>
  <c r="I148" i="17" l="1"/>
  <c r="G152" i="17"/>
  <c r="H151" i="17"/>
  <c r="G151" i="17"/>
  <c r="D191" i="17"/>
  <c r="D190" i="17"/>
  <c r="E32" i="11" a="1"/>
  <c r="E32" i="11" s="1"/>
  <c r="E190" i="17" s="1"/>
  <c r="D151" i="17"/>
  <c r="F33" i="11" a="1"/>
  <c r="F33" i="11" s="1"/>
  <c r="F191" i="17" s="1"/>
  <c r="I189" i="17"/>
  <c r="E21" i="11" a="1"/>
  <c r="E21" i="11" s="1"/>
  <c r="I21" i="11" s="1"/>
  <c r="E149" i="17"/>
  <c r="D21" i="26" s="1"/>
  <c r="I108" i="17"/>
  <c r="I31" i="11"/>
  <c r="F151" i="17"/>
  <c r="E23" i="26" s="1"/>
  <c r="I68" i="17"/>
  <c r="D152" i="17" l="1"/>
  <c r="I190" i="17"/>
  <c r="I32" i="11"/>
  <c r="I69" i="17"/>
  <c r="E150" i="17"/>
  <c r="D22" i="26" s="1"/>
  <c r="I109" i="17"/>
  <c r="F192" i="17"/>
  <c r="F193" i="17" s="1"/>
  <c r="F194" i="17" s="1"/>
  <c r="F195" i="17" s="1"/>
  <c r="F196" i="17" s="1"/>
  <c r="F197" i="17" s="1"/>
  <c r="F198" i="17" s="1"/>
  <c r="F199" i="17" s="1"/>
  <c r="F200" i="17" s="1"/>
  <c r="F201" i="17" s="1"/>
  <c r="F202" i="17" s="1"/>
  <c r="F203" i="17" s="1"/>
  <c r="F204" i="17" s="1"/>
  <c r="F205" i="17" s="1"/>
  <c r="F206" i="17" s="1"/>
  <c r="F207" i="17" s="1"/>
  <c r="F208" i="17" s="1"/>
  <c r="F209" i="17" s="1"/>
  <c r="F210" i="17" s="1"/>
  <c r="F211" i="17" s="1"/>
  <c r="F212" i="17" s="1"/>
  <c r="F213" i="17" s="1"/>
  <c r="F214" i="17" s="1"/>
  <c r="F215" i="17" s="1"/>
  <c r="F216" i="17" s="1"/>
  <c r="H152" i="17"/>
  <c r="F152" i="17"/>
  <c r="E24" i="26" s="1"/>
  <c r="E33" i="11" a="1"/>
  <c r="E33" i="11" s="1"/>
  <c r="I149" i="17"/>
  <c r="D192" i="17"/>
  <c r="G153" i="17"/>
  <c r="D153" i="17" l="1"/>
  <c r="I150" i="17"/>
  <c r="I70" i="17"/>
  <c r="E191" i="17"/>
  <c r="I33" i="11"/>
  <c r="D193" i="17"/>
  <c r="H153" i="17"/>
  <c r="E151" i="17"/>
  <c r="D23" i="26" s="1"/>
  <c r="I110" i="17"/>
  <c r="E152" i="17" l="1"/>
  <c r="D24" i="26" s="1"/>
  <c r="I111" i="17"/>
  <c r="F153" i="17"/>
  <c r="E25" i="26" s="1"/>
  <c r="H154" i="17"/>
  <c r="G154" i="17"/>
  <c r="I151" i="17"/>
  <c r="F154" i="17"/>
  <c r="E26" i="26" s="1"/>
  <c r="D154" i="17"/>
  <c r="I71" i="17"/>
  <c r="D194" i="17"/>
  <c r="E192" i="17"/>
  <c r="I192" i="17" s="1"/>
  <c r="I191" i="17"/>
  <c r="G155" i="17"/>
  <c r="H156" i="17" l="1"/>
  <c r="G156" i="17"/>
  <c r="F155" i="17"/>
  <c r="E27" i="26" s="1"/>
  <c r="D155" i="17"/>
  <c r="H155" i="17"/>
  <c r="I152" i="17"/>
  <c r="D195" i="17"/>
  <c r="E193" i="17"/>
  <c r="E153" i="17"/>
  <c r="D25" i="26" s="1"/>
  <c r="I112" i="17"/>
  <c r="I72" i="17"/>
  <c r="I153" i="17" l="1"/>
  <c r="D196" i="17"/>
  <c r="D156" i="17"/>
  <c r="I73" i="17"/>
  <c r="E154" i="17"/>
  <c r="D26" i="26" s="1"/>
  <c r="I113" i="17"/>
  <c r="E194" i="17"/>
  <c r="I193" i="17"/>
  <c r="F156" i="17"/>
  <c r="E28" i="26" s="1"/>
  <c r="G157" i="17"/>
  <c r="F157" i="17" l="1"/>
  <c r="E29" i="26" s="1"/>
  <c r="E195" i="17"/>
  <c r="I194" i="17"/>
  <c r="H158" i="17"/>
  <c r="H157" i="17"/>
  <c r="I154" i="17"/>
  <c r="D197" i="17"/>
  <c r="G158" i="17"/>
  <c r="I74" i="17"/>
  <c r="E155" i="17"/>
  <c r="D27" i="26" s="1"/>
  <c r="I114" i="17"/>
  <c r="D157" i="17"/>
  <c r="G159" i="17" l="1"/>
  <c r="I155" i="17"/>
  <c r="D198" i="17"/>
  <c r="H159" i="17"/>
  <c r="D158" i="17"/>
  <c r="I75" i="17"/>
  <c r="E156" i="17"/>
  <c r="D28" i="26" s="1"/>
  <c r="I115" i="17"/>
  <c r="E196" i="17"/>
  <c r="I195" i="17"/>
  <c r="F158" i="17"/>
  <c r="E30" i="26" s="1"/>
  <c r="D199" i="17" l="1"/>
  <c r="F159" i="17"/>
  <c r="E31" i="26" s="1"/>
  <c r="H160" i="17"/>
  <c r="E197" i="17"/>
  <c r="I196" i="17"/>
  <c r="D159" i="17"/>
  <c r="I156" i="17"/>
  <c r="E157" i="17"/>
  <c r="D29" i="26" s="1"/>
  <c r="I116" i="17"/>
  <c r="I76" i="17"/>
  <c r="G160" i="17"/>
  <c r="I77" i="17" l="1"/>
  <c r="E198" i="17"/>
  <c r="I197" i="17"/>
  <c r="H161" i="17"/>
  <c r="E158" i="17"/>
  <c r="D30" i="26" s="1"/>
  <c r="I117" i="17"/>
  <c r="G161" i="17"/>
  <c r="I157" i="17"/>
  <c r="D160" i="17"/>
  <c r="F160" i="17"/>
  <c r="E32" i="26" s="1"/>
  <c r="D200" i="17"/>
  <c r="G162" i="17" l="1"/>
  <c r="E199" i="17"/>
  <c r="I198" i="17"/>
  <c r="F161" i="17"/>
  <c r="E33" i="26" s="1"/>
  <c r="H162" i="17"/>
  <c r="D201" i="17"/>
  <c r="D161" i="17"/>
  <c r="I158" i="17"/>
  <c r="I78" i="17"/>
  <c r="E159" i="17"/>
  <c r="D31" i="26" s="1"/>
  <c r="I118" i="17"/>
  <c r="D162" i="17" l="1"/>
  <c r="I79" i="17"/>
  <c r="H163" i="17"/>
  <c r="I159" i="17"/>
  <c r="F162" i="17"/>
  <c r="E34" i="26" s="1"/>
  <c r="E200" i="17"/>
  <c r="I199" i="17"/>
  <c r="E160" i="17"/>
  <c r="D32" i="26" s="1"/>
  <c r="I119" i="17"/>
  <c r="G163" i="17"/>
  <c r="D202" i="17"/>
  <c r="I80" i="17" l="1"/>
  <c r="F163" i="17"/>
  <c r="E35" i="26" s="1"/>
  <c r="E161" i="17"/>
  <c r="D33" i="26" s="1"/>
  <c r="I120" i="17"/>
  <c r="E201" i="17"/>
  <c r="I200" i="17"/>
  <c r="G164" i="17"/>
  <c r="D203" i="17"/>
  <c r="D163" i="17"/>
  <c r="I160" i="17"/>
  <c r="H164" i="17"/>
  <c r="E202" i="17" l="1"/>
  <c r="I201" i="17"/>
  <c r="I161" i="17"/>
  <c r="G165" i="17"/>
  <c r="F164" i="17"/>
  <c r="E36" i="26" s="1"/>
  <c r="D204" i="17"/>
  <c r="H165" i="17"/>
  <c r="D164" i="17"/>
  <c r="E162" i="17"/>
  <c r="D34" i="26" s="1"/>
  <c r="I121" i="17"/>
  <c r="I81" i="17"/>
  <c r="D165" i="17" l="1"/>
  <c r="H166" i="17"/>
  <c r="D205" i="17"/>
  <c r="I162" i="17"/>
  <c r="F165" i="17"/>
  <c r="E37" i="26" s="1"/>
  <c r="I82" i="17"/>
  <c r="E163" i="17"/>
  <c r="D35" i="26" s="1"/>
  <c r="I122" i="17"/>
  <c r="G166" i="17"/>
  <c r="E203" i="17"/>
  <c r="I202" i="17"/>
  <c r="H167" i="17" l="1"/>
  <c r="D166" i="17"/>
  <c r="E204" i="17"/>
  <c r="I203" i="17"/>
  <c r="I83" i="17"/>
  <c r="I163" i="17"/>
  <c r="F166" i="17"/>
  <c r="E38" i="26" s="1"/>
  <c r="G167" i="17"/>
  <c r="E164" i="17"/>
  <c r="D36" i="26" s="1"/>
  <c r="I123" i="17"/>
  <c r="D206" i="17"/>
  <c r="G168" i="17" l="1"/>
  <c r="I84" i="17"/>
  <c r="D167" i="17"/>
  <c r="I164" i="17"/>
  <c r="F167" i="17"/>
  <c r="E39" i="26" s="1"/>
  <c r="E205" i="17"/>
  <c r="I204" i="17"/>
  <c r="E165" i="17"/>
  <c r="D37" i="26" s="1"/>
  <c r="I124" i="17"/>
  <c r="H168" i="17"/>
  <c r="D207" i="17"/>
  <c r="D208" i="17" l="1"/>
  <c r="I85" i="17"/>
  <c r="E166" i="17"/>
  <c r="D38" i="26" s="1"/>
  <c r="I125" i="17"/>
  <c r="G169" i="17"/>
  <c r="E206" i="17"/>
  <c r="I205" i="17"/>
  <c r="I165" i="17"/>
  <c r="F168" i="17"/>
  <c r="E40" i="26" s="1"/>
  <c r="H169" i="17"/>
  <c r="D168" i="17"/>
  <c r="H170" i="17" l="1"/>
  <c r="G170" i="17"/>
  <c r="I166" i="17"/>
  <c r="F169" i="17"/>
  <c r="E41" i="26" s="1"/>
  <c r="I86" i="17"/>
  <c r="E167" i="17"/>
  <c r="D39" i="26" s="1"/>
  <c r="I126" i="17"/>
  <c r="D169" i="17"/>
  <c r="E207" i="17"/>
  <c r="I206" i="17"/>
  <c r="D209" i="17"/>
  <c r="E168" i="17" l="1"/>
  <c r="D40" i="26" s="1"/>
  <c r="I127" i="17"/>
  <c r="E208" i="17"/>
  <c r="I207" i="17"/>
  <c r="I167" i="17"/>
  <c r="I87" i="17"/>
  <c r="G171" i="17"/>
  <c r="F170" i="17"/>
  <c r="E42" i="26" s="1"/>
  <c r="H171" i="17"/>
  <c r="D210" i="17"/>
  <c r="D170" i="17"/>
  <c r="D211" i="17" l="1"/>
  <c r="H172" i="17"/>
  <c r="E169" i="17"/>
  <c r="D41" i="26" s="1"/>
  <c r="I128" i="17"/>
  <c r="G172" i="17"/>
  <c r="F171" i="17"/>
  <c r="D171" i="17"/>
  <c r="E209" i="17"/>
  <c r="I208" i="17"/>
  <c r="I88" i="17"/>
  <c r="I168" i="17"/>
  <c r="E43" i="26" l="1"/>
  <c r="I89" i="17"/>
  <c r="H173" i="17"/>
  <c r="G173" i="17"/>
  <c r="I169" i="17"/>
  <c r="E170" i="17"/>
  <c r="D42" i="26" s="1"/>
  <c r="I129" i="17"/>
  <c r="E210" i="17"/>
  <c r="I209" i="17"/>
  <c r="D212" i="17"/>
  <c r="F172" i="17"/>
  <c r="E44" i="26" s="1"/>
  <c r="D172" i="17"/>
  <c r="F173" i="17" l="1"/>
  <c r="E45" i="26" s="1"/>
  <c r="E171" i="17"/>
  <c r="D43" i="26" s="1"/>
  <c r="I170" i="17"/>
  <c r="G94" i="17"/>
  <c r="D94" i="17"/>
  <c r="I90" i="17"/>
  <c r="D213" i="17"/>
  <c r="D173" i="17"/>
  <c r="E211" i="17"/>
  <c r="I210" i="17"/>
  <c r="H94" i="17"/>
  <c r="D174" i="17" l="1"/>
  <c r="D135" i="17"/>
  <c r="D24" i="11"/>
  <c r="I171" i="17"/>
  <c r="E172" i="17"/>
  <c r="I131" i="17"/>
  <c r="G174" i="17"/>
  <c r="G24" i="11"/>
  <c r="G135" i="17"/>
  <c r="E212" i="17"/>
  <c r="I211" i="17"/>
  <c r="I91" i="17"/>
  <c r="D214" i="17"/>
  <c r="H174" i="17"/>
  <c r="H24" i="11"/>
  <c r="H135" i="17"/>
  <c r="F94" i="17"/>
  <c r="I172" i="17" l="1"/>
  <c r="D44" i="26"/>
  <c r="H36" i="11"/>
  <c r="H176" i="17"/>
  <c r="H41" i="11" s="1"/>
  <c r="D215" i="17"/>
  <c r="G36" i="11"/>
  <c r="G176" i="17"/>
  <c r="G41" i="11" s="1"/>
  <c r="E213" i="17"/>
  <c r="I212" i="17"/>
  <c r="E94" i="17"/>
  <c r="I92" i="17"/>
  <c r="I94" i="17" s="1"/>
  <c r="F174" i="17"/>
  <c r="E46" i="26" s="1"/>
  <c r="E52" i="26" s="1"/>
  <c r="C11" i="29" s="1"/>
  <c r="D11" i="29" s="1"/>
  <c r="E11" i="29" s="1"/>
  <c r="F24" i="11"/>
  <c r="F135" i="17"/>
  <c r="E173" i="17"/>
  <c r="I132" i="17"/>
  <c r="D176" i="17"/>
  <c r="D41" i="11" s="1"/>
  <c r="D36" i="11"/>
  <c r="I173" i="17" l="1"/>
  <c r="D45" i="26"/>
  <c r="F176" i="17"/>
  <c r="F41" i="11" s="1"/>
  <c r="F36" i="11"/>
  <c r="D216" i="17"/>
  <c r="E214" i="17"/>
  <c r="I213" i="17"/>
  <c r="E174" i="17"/>
  <c r="D46" i="26" s="1"/>
  <c r="E135" i="17"/>
  <c r="E24" i="11"/>
  <c r="I133" i="17"/>
  <c r="D52" i="26" l="1"/>
  <c r="C10" i="29" s="1"/>
  <c r="I135" i="17"/>
  <c r="I24" i="11"/>
  <c r="E215" i="17"/>
  <c r="I214" i="17"/>
  <c r="E36" i="11"/>
  <c r="E176" i="17"/>
  <c r="E41" i="11" s="1"/>
  <c r="I174" i="17"/>
  <c r="D10" i="29" l="1"/>
  <c r="E216" i="17"/>
  <c r="I216" i="17" s="1"/>
  <c r="I215" i="17"/>
  <c r="I36" i="11"/>
  <c r="I176" i="17"/>
  <c r="I41" i="11" s="1"/>
  <c r="E10" i="29" l="1"/>
  <c r="G16" i="14"/>
  <c r="E59" i="26" s="1"/>
  <c r="G59" i="26" s="1"/>
  <c r="E22" i="14"/>
  <c r="H25" i="2" l="1"/>
  <c r="I59" i="26"/>
  <c r="H59" i="26"/>
  <c r="C5" i="25"/>
  <c r="D5" i="25" s="1"/>
  <c r="E5" i="25" s="1"/>
  <c r="F5" i="25" s="1"/>
  <c r="G22" i="14"/>
  <c r="C4" i="25"/>
  <c r="F22" i="14"/>
  <c r="J25" i="2" l="1"/>
  <c r="I25" i="2"/>
  <c r="D4" i="25"/>
  <c r="C11" i="25"/>
  <c r="E98" i="26"/>
  <c r="G58" i="26"/>
  <c r="H58" i="26" l="1"/>
  <c r="H98" i="26" s="1"/>
  <c r="G98" i="26"/>
  <c r="H24" i="2"/>
  <c r="I58" i="26"/>
  <c r="I98" i="26" s="1"/>
  <c r="D11" i="25"/>
  <c r="E4" i="25"/>
  <c r="J24" i="2" l="1"/>
  <c r="J60" i="2" s="1"/>
  <c r="I24" i="2"/>
  <c r="I60" i="2" s="1"/>
  <c r="H60" i="2"/>
  <c r="E11" i="25"/>
  <c r="F4" i="25"/>
  <c r="F11" i="25" s="1"/>
  <c r="F15" i="2" l="1"/>
  <c r="E33" i="2"/>
  <c r="N21" i="26"/>
  <c r="F54" i="2"/>
  <c r="D54" i="2"/>
  <c r="E50" i="2"/>
  <c r="N38" i="26"/>
  <c r="E51" i="2"/>
  <c r="N39" i="26"/>
  <c r="E58" i="2"/>
  <c r="N46" i="26"/>
  <c r="F33" i="2"/>
  <c r="D33" i="2"/>
  <c r="E31" i="2"/>
  <c r="N19" i="26"/>
  <c r="F51" i="2"/>
  <c r="D51" i="2"/>
  <c r="F16" i="2"/>
  <c r="F14" i="2"/>
  <c r="G22" i="27"/>
  <c r="F31" i="2"/>
  <c r="D31" i="2"/>
  <c r="E49" i="2"/>
  <c r="N37" i="26"/>
  <c r="E42" i="2"/>
  <c r="N30" i="26"/>
  <c r="F55" i="2"/>
  <c r="D55" i="2"/>
  <c r="E32" i="2"/>
  <c r="N20" i="26"/>
  <c r="F45" i="2"/>
  <c r="D45" i="2"/>
  <c r="E46" i="2"/>
  <c r="N34" i="26"/>
  <c r="E38" i="2"/>
  <c r="N26" i="26"/>
  <c r="E57" i="2"/>
  <c r="N45" i="26"/>
  <c r="F39" i="2"/>
  <c r="D39" i="2"/>
  <c r="F44" i="2"/>
  <c r="D44" i="2"/>
  <c r="E35" i="2"/>
  <c r="N23" i="26"/>
  <c r="E40" i="2"/>
  <c r="N28" i="26"/>
  <c r="C19" i="26"/>
  <c r="M19" i="26"/>
  <c r="O19" i="26"/>
  <c r="F56" i="2"/>
  <c r="D56" i="2"/>
  <c r="F34" i="2"/>
  <c r="D34" i="2"/>
  <c r="E53" i="2"/>
  <c r="N41" i="26"/>
  <c r="F40" i="2"/>
  <c r="D40" i="2"/>
  <c r="O32" i="26"/>
  <c r="F47" i="2"/>
  <c r="D47" i="2"/>
  <c r="F42" i="2"/>
  <c r="D42" i="2"/>
  <c r="C28" i="26"/>
  <c r="M28" i="26"/>
  <c r="O28" i="26"/>
  <c r="O35" i="26"/>
  <c r="O43" i="26"/>
  <c r="F50" i="2"/>
  <c r="D50" i="2"/>
  <c r="E54" i="2"/>
  <c r="N42" i="26"/>
  <c r="C32" i="26"/>
  <c r="M32" i="26"/>
  <c r="N32" i="26"/>
  <c r="E44" i="2"/>
  <c r="E56" i="2"/>
  <c r="N44" i="26"/>
  <c r="F58" i="2"/>
  <c r="D58" i="2"/>
  <c r="C35" i="26"/>
  <c r="M35" i="26"/>
  <c r="N35" i="26"/>
  <c r="E47" i="2"/>
  <c r="F48" i="2"/>
  <c r="D48" i="2"/>
  <c r="C43" i="26"/>
  <c r="M43" i="26"/>
  <c r="N43" i="26"/>
  <c r="E55" i="2"/>
  <c r="F53" i="2"/>
  <c r="D53" i="2"/>
  <c r="O22" i="26"/>
  <c r="O37" i="26"/>
  <c r="F41" i="2"/>
  <c r="D41" i="2"/>
  <c r="C44" i="26"/>
  <c r="M44" i="26"/>
  <c r="O44" i="26"/>
  <c r="F35" i="2"/>
  <c r="D35" i="2"/>
  <c r="C41" i="26"/>
  <c r="M41" i="26"/>
  <c r="O41" i="26"/>
  <c r="C46" i="26"/>
  <c r="M46" i="26"/>
  <c r="O46" i="26"/>
  <c r="E41" i="2"/>
  <c r="N29" i="26"/>
  <c r="E43" i="2"/>
  <c r="N31" i="26"/>
  <c r="O25" i="26"/>
  <c r="C22" i="26"/>
  <c r="M22" i="26"/>
  <c r="N22" i="26"/>
  <c r="E34" i="2"/>
  <c r="F46" i="2"/>
  <c r="D46" i="2"/>
  <c r="C37" i="26"/>
  <c r="M37" i="26"/>
  <c r="D49" i="2"/>
  <c r="F49" i="2"/>
  <c r="O26" i="26"/>
  <c r="O52" i="26"/>
  <c r="O18" i="26"/>
  <c r="D60" i="2"/>
  <c r="C29" i="26"/>
  <c r="M29" i="26"/>
  <c r="O29" i="26"/>
  <c r="E39" i="2"/>
  <c r="N27" i="26"/>
  <c r="E9" i="29"/>
  <c r="N25" i="26"/>
  <c r="E37" i="2"/>
  <c r="O24" i="26"/>
  <c r="O33" i="26"/>
  <c r="C23" i="26"/>
  <c r="M23" i="26"/>
  <c r="O23" i="26"/>
  <c r="N52" i="26"/>
  <c r="E52" i="2"/>
  <c r="N40" i="26"/>
  <c r="O36" i="26"/>
  <c r="O47" i="26"/>
  <c r="M52" i="26"/>
  <c r="C39" i="26"/>
  <c r="M39" i="26"/>
  <c r="O39" i="26"/>
  <c r="F32" i="2"/>
  <c r="D32" i="2"/>
  <c r="F52" i="2"/>
  <c r="D52" i="2"/>
  <c r="C27" i="26"/>
  <c r="M27" i="26"/>
  <c r="O27" i="26"/>
  <c r="D9" i="29"/>
  <c r="D13" i="29"/>
  <c r="E13" i="29"/>
  <c r="N47" i="26"/>
  <c r="E59" i="2"/>
  <c r="O45" i="26"/>
  <c r="D36" i="2"/>
  <c r="F36" i="2"/>
  <c r="C36" i="26"/>
  <c r="M36" i="26"/>
  <c r="N36" i="26"/>
  <c r="E48" i="2"/>
  <c r="C33" i="26"/>
  <c r="M33" i="26"/>
  <c r="N33" i="26"/>
  <c r="E45" i="2"/>
  <c r="O31" i="26"/>
  <c r="C26" i="26"/>
  <c r="M26" i="26"/>
  <c r="D38" i="2"/>
  <c r="F38" i="2"/>
  <c r="C52" i="26"/>
  <c r="C9" i="29"/>
  <c r="C13" i="29"/>
  <c r="C30" i="26"/>
  <c r="M30" i="26"/>
  <c r="O30" i="26"/>
  <c r="G50" i="27"/>
  <c r="G51" i="27"/>
  <c r="C47" i="26"/>
  <c r="M47" i="26"/>
  <c r="D59" i="2"/>
  <c r="F59" i="2"/>
  <c r="C40" i="26"/>
  <c r="M40" i="26"/>
  <c r="O40" i="26"/>
  <c r="F18" i="2"/>
  <c r="D30" i="2"/>
  <c r="F30" i="2"/>
  <c r="F60" i="2"/>
  <c r="F19" i="2"/>
  <c r="C31" i="26"/>
  <c r="M31" i="26"/>
  <c r="D43" i="2"/>
  <c r="F43" i="2"/>
  <c r="C20" i="26"/>
  <c r="M20" i="26"/>
  <c r="O20" i="26"/>
  <c r="C18" i="26"/>
  <c r="M18" i="26"/>
  <c r="N18" i="26"/>
  <c r="E30" i="2"/>
  <c r="E60" i="2"/>
  <c r="F17" i="2"/>
  <c r="C25" i="26"/>
  <c r="M25" i="26"/>
  <c r="D37" i="2"/>
  <c r="F37" i="2"/>
  <c r="C24" i="26"/>
  <c r="M24" i="26"/>
  <c r="N24" i="26"/>
  <c r="E36" i="2"/>
  <c r="C21" i="26"/>
  <c r="M21" i="26"/>
  <c r="O21" i="26"/>
  <c r="C34" i="26"/>
  <c r="M34" i="26"/>
  <c r="O34" i="26"/>
  <c r="G47" i="27"/>
  <c r="G48" i="27"/>
  <c r="G49" i="27"/>
  <c r="C45" i="26"/>
  <c r="M45" i="26"/>
  <c r="D57" i="2"/>
  <c r="F57" i="2"/>
  <c r="G43" i="27"/>
  <c r="G44" i="27"/>
  <c r="G45" i="27"/>
  <c r="G46" i="27"/>
  <c r="C42" i="26"/>
  <c r="M42" i="26"/>
  <c r="O42" i="26"/>
  <c r="G52" i="27"/>
  <c r="H130" i="4"/>
  <c r="G22" i="27" a="1"/>
  <c r="G23" i="27"/>
  <c r="G24" i="27"/>
  <c r="G25" i="27"/>
  <c r="G26" i="27"/>
  <c r="G27" i="27"/>
  <c r="G28" i="27"/>
  <c r="G29" i="27"/>
  <c r="G30" i="27"/>
  <c r="G31" i="27"/>
  <c r="G32" i="27"/>
  <c r="G33" i="27"/>
  <c r="G34" i="27"/>
  <c r="G35" i="27"/>
  <c r="G36" i="27"/>
  <c r="G37" i="27"/>
  <c r="G38" i="27"/>
  <c r="G39" i="27"/>
  <c r="G40" i="27"/>
  <c r="G41" i="27"/>
  <c r="G42" i="27"/>
  <c r="C38" i="26"/>
  <c r="M38" i="26"/>
  <c r="O38" i="2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<sst xmlns="http://schemas.openxmlformats.org/spreadsheetml/2006/main" count="1287" uniqueCount="680">
  <si>
    <t>Project Benefit-Cost Analysis (BCA) Summary</t>
  </si>
  <si>
    <t>Project Name:</t>
  </si>
  <si>
    <t>Component:</t>
  </si>
  <si>
    <t>Date:</t>
  </si>
  <si>
    <t>Table ES-1.1 Summary of Project Costs and Benefits</t>
  </si>
  <si>
    <t>Item</t>
  </si>
  <si>
    <t>Value</t>
  </si>
  <si>
    <t>Project Benefits Evaluation Period 
(Years, post-substantial completion)</t>
  </si>
  <si>
    <t>Primary Discount Rate:</t>
  </si>
  <si>
    <t>Alternative Discount Rate:</t>
  </si>
  <si>
    <t>Present Value Benefit (7%):</t>
  </si>
  <si>
    <t>Present Value Cost (7%):</t>
  </si>
  <si>
    <t>Project Benefit-Cost Ratio (7%):</t>
  </si>
  <si>
    <t>Net Present Value (NPV) (7%)</t>
  </si>
  <si>
    <t>Alternative B-C Ratio (3%)</t>
  </si>
  <si>
    <t>Alternative NPV (3%)</t>
  </si>
  <si>
    <t>Table ES-1.2 Project Benefits by Year</t>
  </si>
  <si>
    <t>Table ES-1.3 Project Costs by Year</t>
  </si>
  <si>
    <t>Year#</t>
  </si>
  <si>
    <t>Year</t>
  </si>
  <si>
    <t>Present Value (PV) Project Benefits</t>
  </si>
  <si>
    <t>Project Benefits at 7% Discount Rate*</t>
  </si>
  <si>
    <t>Project Benefits at 3% Discount Rate</t>
  </si>
  <si>
    <t>Present Value (PV) Project Costs</t>
  </si>
  <si>
    <t>Project Costs at 7% Discount Rate</t>
  </si>
  <si>
    <t>Project Costs at 3% Discount Rate</t>
  </si>
  <si>
    <t>Total</t>
  </si>
  <si>
    <r>
      <t xml:space="preserve">This tab provides a summary of project costs and benefits by year. 
</t>
    </r>
    <r>
      <rPr>
        <b/>
        <sz val="10"/>
        <rFont val="ArialMT"/>
      </rPr>
      <t xml:space="preserve">
Table ES-2.1 </t>
    </r>
    <r>
      <rPr>
        <sz val="10"/>
        <rFont val="ArialMT"/>
      </rPr>
      <t xml:space="preserve">shows all project benefits by year. 
</t>
    </r>
    <r>
      <rPr>
        <b/>
        <sz val="10"/>
        <rFont val="ArialMT"/>
      </rPr>
      <t xml:space="preserve">Table ES-2.2 </t>
    </r>
    <r>
      <rPr>
        <sz val="10"/>
        <rFont val="ArialMT"/>
      </rPr>
      <t xml:space="preserve">shows all project costs by year.
All estimates of project benefits and costs are derived from calculations presented in </t>
    </r>
    <r>
      <rPr>
        <sz val="10"/>
        <color rgb="FFFF0000"/>
        <rFont val="ArialMT"/>
      </rPr>
      <t>tabs 1 thru 12</t>
    </r>
    <r>
      <rPr>
        <sz val="10"/>
        <rFont val="ArialMT"/>
      </rPr>
      <t>. All methodological assumptions and data sources are provided on the relevant sheets.</t>
    </r>
  </si>
  <si>
    <t>Table ES-2.1 Project Benefits by Year</t>
  </si>
  <si>
    <t>Year #</t>
  </si>
  <si>
    <t>Safety Benefits</t>
  </si>
  <si>
    <r>
      <t>Emissions Benefits, NOT Including CO</t>
    </r>
    <r>
      <rPr>
        <b/>
        <vertAlign val="subscript"/>
        <sz val="10"/>
        <color theme="1"/>
        <rFont val="ArialMT"/>
      </rPr>
      <t>2</t>
    </r>
  </si>
  <si>
    <r>
      <t>Emissions Benefits, CO</t>
    </r>
    <r>
      <rPr>
        <b/>
        <vertAlign val="subscript"/>
        <sz val="10"/>
        <color theme="1"/>
        <rFont val="ArialMT"/>
      </rPr>
      <t>2</t>
    </r>
    <r>
      <rPr>
        <b/>
        <sz val="10"/>
        <color theme="1"/>
        <rFont val="ArialMT"/>
      </rPr>
      <t xml:space="preserve"> Only</t>
    </r>
  </si>
  <si>
    <t>Travel Time Savings Benefits</t>
  </si>
  <si>
    <t>Foregone Cost Savings</t>
  </si>
  <si>
    <t>Repurpose ROW</t>
  </si>
  <si>
    <t>Transit Facility Benefits</t>
  </si>
  <si>
    <t>Pedestrian Facility Benefits</t>
  </si>
  <si>
    <t>Cycling Facility Benefits</t>
  </si>
  <si>
    <t>Mortality Reduction Benefits</t>
  </si>
  <si>
    <t>TOTAL BENEFITS</t>
  </si>
  <si>
    <r>
      <t>TOTAL BENEFITS at 7% Discount Rate
(CO</t>
    </r>
    <r>
      <rPr>
        <b/>
        <vertAlign val="subscript"/>
        <sz val="10"/>
        <color theme="1"/>
        <rFont val="ArialMT"/>
      </rPr>
      <t>2</t>
    </r>
    <r>
      <rPr>
        <b/>
        <sz val="10"/>
        <color theme="1"/>
        <rFont val="ArialMT"/>
      </rPr>
      <t xml:space="preserve"> Discounted at 3% per NOFO)</t>
    </r>
  </si>
  <si>
    <t>TOTAL BENEFITS at 3% Discount Rate</t>
  </si>
  <si>
    <t>Present Value Benefits</t>
  </si>
  <si>
    <t>Table ES-2.2 Project Costs by Year</t>
  </si>
  <si>
    <t>Work Zone Closure Costs</t>
  </si>
  <si>
    <t>Bridge Rehab Work Zone</t>
  </si>
  <si>
    <t>Future Eligible Project Costs</t>
  </si>
  <si>
    <t>Lifecycle Management Costs</t>
  </si>
  <si>
    <t>TOTAL COSTS</t>
  </si>
  <si>
    <t>TOTAL COSTS at 7% Discount Rate</t>
  </si>
  <si>
    <t>TOTAL COSTS at 3% Discount Rate</t>
  </si>
  <si>
    <t>Present Value Costs</t>
  </si>
  <si>
    <t>Freight Rating</t>
  </si>
  <si>
    <t>Rebuilding the East Avenue Corridor</t>
  </si>
  <si>
    <r>
      <t xml:space="preserve">From the U.S. Department of Transportation's "Benefit-Cost Analysis Guidance for Discretionary Grant Programs," each project in the most recent round of INFRA funding would be assigned a "Freight Rating," which will be "three tiered, based on the share of quantifiable benefits which are attributable project impacts to freight movement." The tiers are as follows: 
•  Projects for which 20% or more of the quantifiable benefits are attributable to project impacts on freight movement will be designated as having </t>
    </r>
    <r>
      <rPr>
        <b/>
        <sz val="10"/>
        <color theme="1"/>
        <rFont val="ArialMT"/>
      </rPr>
      <t>substantial</t>
    </r>
    <r>
      <rPr>
        <sz val="10"/>
        <color theme="1"/>
        <rFont val="ArialMT"/>
      </rPr>
      <t xml:space="preserve"> freight benefits; 
•  Projects in which those benefits within a 5-20% range will be designated as a project with </t>
    </r>
    <r>
      <rPr>
        <b/>
        <sz val="10"/>
        <color theme="1"/>
        <rFont val="ArialMT"/>
      </rPr>
      <t>moderate</t>
    </r>
    <r>
      <rPr>
        <sz val="10"/>
        <color theme="1"/>
        <rFont val="ArialMT"/>
      </rPr>
      <t xml:space="preserve"> freight benefits; and 
•  Projects for which less than 5% of the quantifiable benefits fall into this category to be designated as having </t>
    </r>
    <r>
      <rPr>
        <b/>
        <sz val="10"/>
        <color theme="1"/>
        <rFont val="ArialMT"/>
      </rPr>
      <t>incidental</t>
    </r>
    <r>
      <rPr>
        <sz val="10"/>
        <color theme="1"/>
        <rFont val="ArialMT"/>
      </rPr>
      <t xml:space="preserve"> freight benefits.
RIDOT has elected to perform this calculation for RAISE projects as well. This benefit-cost analysis estimates that </t>
    </r>
    <r>
      <rPr>
        <b/>
        <sz val="10"/>
        <rFont val="ArialMT"/>
      </rPr>
      <t>6.36%</t>
    </r>
    <r>
      <rPr>
        <sz val="10"/>
        <color theme="1"/>
        <rFont val="ArialMT"/>
      </rPr>
      <t xml:space="preserve"> of the quantifiable benefits associated with this project are attributable to impacts on freight movement. This calculation assumes the following:
•  The proportion of safety benefits attributanle to freight is equal to the proportion of commercial trucks in the route network (6%); 
•  The proportion of emissions benefits attrubutable to freight is equal to the share of all GHG emissions attributed to medium- and heavy-duty trucks according to the EPA</t>
    </r>
    <r>
      <rPr>
        <vertAlign val="superscript"/>
        <sz val="10"/>
        <color theme="1"/>
        <rFont val="ArialMT"/>
      </rPr>
      <t>1</t>
    </r>
    <r>
      <rPr>
        <sz val="10"/>
        <color theme="1"/>
        <rFont val="ArialMT"/>
      </rPr>
      <t xml:space="preserve"> (23%); and
•  The share of travel time savings benefits is calculated directly from the monetization of commercial truck travel documented throughout this BCA. 
As a result, this project may be designated as having </t>
    </r>
    <r>
      <rPr>
        <b/>
        <sz val="10"/>
        <color theme="1"/>
        <rFont val="ArialMT"/>
      </rPr>
      <t>moderate</t>
    </r>
    <r>
      <rPr>
        <sz val="10"/>
        <color theme="1"/>
        <rFont val="ArialMT"/>
      </rPr>
      <t xml:space="preserve"> freight benefits.
1. https://www.epa.gov/greenvehicles/fast-facts-transportation-greenhouse-gas-emissions 
</t>
    </r>
  </si>
  <si>
    <t>Table 1. Project Benefits Summary</t>
  </si>
  <si>
    <t>Benefit Category</t>
  </si>
  <si>
    <t>Total Benefit (Present Value)</t>
  </si>
  <si>
    <t>Freight Portion</t>
  </si>
  <si>
    <t>Freight Share</t>
  </si>
  <si>
    <t>Safety</t>
  </si>
  <si>
    <r>
      <t>Emissions, NOT Including CO</t>
    </r>
    <r>
      <rPr>
        <vertAlign val="subscript"/>
        <sz val="10"/>
        <color theme="1"/>
        <rFont val="ArialMT"/>
      </rPr>
      <t>2</t>
    </r>
  </si>
  <si>
    <r>
      <t>Emissions, CO</t>
    </r>
    <r>
      <rPr>
        <vertAlign val="subscript"/>
        <sz val="10"/>
        <color theme="1"/>
        <rFont val="ArialMT"/>
      </rPr>
      <t>2</t>
    </r>
    <r>
      <rPr>
        <sz val="10"/>
        <color theme="1"/>
        <rFont val="ArialMT"/>
      </rPr>
      <t xml:space="preserve"> Only</t>
    </r>
  </si>
  <si>
    <t>Time Travel Savings</t>
  </si>
  <si>
    <t>1. Safety Benefits Summary</t>
  </si>
  <si>
    <t>Table 1-1. Safety Issue 1:</t>
  </si>
  <si>
    <t>Rumble Strips (w/ recessed pavement markers)</t>
  </si>
  <si>
    <t>Countermeasure(s):</t>
  </si>
  <si>
    <t>CMF 3518 (FI) and 3410 (All), PDO Calculated as Difference between FI and All</t>
  </si>
  <si>
    <t>Crash Severity</t>
  </si>
  <si>
    <t>Column1</t>
  </si>
  <si>
    <t>No-Build Predicted Crashes</t>
  </si>
  <si>
    <t>Crash Reduction Factor</t>
  </si>
  <si>
    <t>Predicted Annual Crash Reduction</t>
  </si>
  <si>
    <t>Value of Injuries</t>
  </si>
  <si>
    <t>Annual Savings</t>
  </si>
  <si>
    <t>O - No Injury</t>
  </si>
  <si>
    <t>C - Possible Injury</t>
  </si>
  <si>
    <t>B - Non-Incapacitating</t>
  </si>
  <si>
    <t>A - Incapacitating</t>
  </si>
  <si>
    <t>K - Killed</t>
  </si>
  <si>
    <t>U - Injured (Severity Unknown)</t>
  </si>
  <si>
    <t># Accidents Reported (Unknown if Injured)</t>
  </si>
  <si>
    <t>Injury Crash</t>
  </si>
  <si>
    <t>Fatal Crash</t>
  </si>
  <si>
    <t>Table 1-2. Safety Issue 2:</t>
  </si>
  <si>
    <t>High Friction Surface Treatment &amp; Enhanced Curve Delineation w/Barrier or Guardrail (17 Ramps)</t>
  </si>
  <si>
    <t>CMF 10319 (FI) and 10318 (All), PDO Calculated as Difference between FI and All</t>
  </si>
  <si>
    <t>Table 1-3. Safety Issue 3:</t>
  </si>
  <si>
    <t>Freeway Termination at Full-Access Arterial; Remove Horizontal Curve Ramps</t>
  </si>
  <si>
    <t>Surrogate CMF calculated using differences in predicted crashes for the build and no build.</t>
  </si>
  <si>
    <t>Table 1-4. Safety Issue 4:</t>
  </si>
  <si>
    <t>Number of Crashes per Year</t>
  </si>
  <si>
    <t>Table 1-5. Safety Issue 5:</t>
  </si>
  <si>
    <t>Table 1-6. Safety Issue 6:</t>
  </si>
  <si>
    <t>Total Crashes</t>
  </si>
  <si>
    <t>Table 1-7. Safety Issue 7:</t>
  </si>
  <si>
    <t>Table 1-6. Safety Benefits Summary</t>
  </si>
  <si>
    <t>Total Crashs</t>
  </si>
  <si>
    <t>Column2</t>
  </si>
  <si>
    <t>30-Year Total</t>
  </si>
  <si>
    <t>1B. Safety Benefits Backup, All Years</t>
  </si>
  <si>
    <t>Assumptions</t>
  </si>
  <si>
    <t xml:space="preserve">The analysis assumes that reviewed recent historic crashes are consistent throughout the 30 year planning horizon. </t>
  </si>
  <si>
    <t>Methodology</t>
  </si>
  <si>
    <t xml:space="preserve">The is analysis used the Highway Safety Manual method for selecting crash countermeasures by applying estimating crash reductions to historic crashes. For Safety Issue 3 ISATe predictive modeling which implements the Highway Safety Manual was used to predict impacts related to extensive changes in the roadway network. </t>
  </si>
  <si>
    <t>Baseline</t>
  </si>
  <si>
    <t>The Existing Conditions model represents crashes between 2015 and  2021.</t>
  </si>
  <si>
    <t>Sources of Data</t>
  </si>
  <si>
    <t>RIDOT Crash Data 2015-2021; FHWA CMF Clearinghouse</t>
  </si>
  <si>
    <t>Key Input Parameters</t>
  </si>
  <si>
    <t xml:space="preserve">The model required crash frequency and severity derived from the RIDOT crash reports as well as Crash Modification Factors (form the FHWA Crash Modification Factor Clearinghouse) determined to be most appropriate to existing conditions. </t>
  </si>
  <si>
    <t>Table 1B-1. Safety Benefits by Year</t>
  </si>
  <si>
    <t>Traffic Count</t>
  </si>
  <si>
    <t>Estimated Total Crashes, No Build Scenario (Crashes/Yr)</t>
  </si>
  <si>
    <t>Estimated Total Crashes, Preferred Action Scenario</t>
  </si>
  <si>
    <t>Predicted Crash Reduction, Preferred Action Scenario (Crashes/Yr)</t>
  </si>
  <si>
    <t>Realized Safety Benefit ($/Year)</t>
  </si>
  <si>
    <t>2. Emissions Benefits Summary</t>
  </si>
  <si>
    <t>Table 2-1. Projected Emissions Reduction by Year, Selected Years (Metric Tons/Year)</t>
  </si>
  <si>
    <r>
      <t>NO</t>
    </r>
    <r>
      <rPr>
        <vertAlign val="subscript"/>
        <sz val="10"/>
        <color theme="1"/>
        <rFont val="ArialMT"/>
      </rPr>
      <t>X</t>
    </r>
  </si>
  <si>
    <t>SOx</t>
  </si>
  <si>
    <r>
      <t>PM</t>
    </r>
    <r>
      <rPr>
        <vertAlign val="subscript"/>
        <sz val="10"/>
        <color theme="1"/>
        <rFont val="Arial"/>
        <family val="2"/>
      </rPr>
      <t>2.5</t>
    </r>
  </si>
  <si>
    <r>
      <t>CO</t>
    </r>
    <r>
      <rPr>
        <vertAlign val="subscript"/>
        <sz val="10"/>
        <color theme="1"/>
        <rFont val="ArialMT"/>
      </rPr>
      <t>2</t>
    </r>
  </si>
  <si>
    <r>
      <t>PM</t>
    </r>
    <r>
      <rPr>
        <vertAlign val="subscript"/>
        <sz val="10"/>
        <color theme="1"/>
        <rFont val="Arial"/>
        <family val="2"/>
      </rPr>
      <t>10</t>
    </r>
  </si>
  <si>
    <t>VOC</t>
  </si>
  <si>
    <t>Average</t>
  </si>
  <si>
    <t>Table 2-2. Projected Monetary Benefit from Emissions Reductions by Year, Selected Years</t>
  </si>
  <si>
    <t>Table 2-3. Emissions Benefits Summary</t>
  </si>
  <si>
    <t>NOX</t>
  </si>
  <si>
    <t>PM2.5</t>
  </si>
  <si>
    <t>CO2</t>
  </si>
  <si>
    <t>PM10</t>
  </si>
  <si>
    <t>2B. Emissions Benefits Backup, All Years</t>
  </si>
  <si>
    <t xml:space="preserve">The analysis relies on assumption made b the traffic analysis which assumes that traffic patterns remain consistent through this study area, however, traffic volumes will continue to grow at a rate of approximately 0.25% annually over the 30-year planning horizon for this analysis. </t>
  </si>
  <si>
    <t>An air quality study of the Project was conducted using traffic data developed in the transportation analysis. Emission factors for the study area were developed using the Motor Vehicle Emission Simulator model (MOVES3) developed by the US Environmental Protection Agency. Emissions were analyzed for the first five years of operation (2028-2032) and the design year (2058). Analyses were conducted for the No Build and Build alternatives to determine the emissions reduction associated with the Project. The emission factors represent the corresponding year of the traffic modeling. The factors were derived by calculating a seasonal average during the evening peak hour with a representative vehicle mix. Oxides of Nitrogen (NOX), Sulfur Dioxide (SO2), Particulate Matter (PM2.5) and Carbon Dioxide (CO2) were studied based on the latest grant application guidance. Volatile Organic Compounds (VOC) and Particulate Matter 10 (PM10) emissions savings were included for informational purposes, but cost savings were not quantified per the latest grant application guidance.
Emissions reductions are scaled linearly by year between the opening and design years.</t>
  </si>
  <si>
    <t xml:space="preserve">The baseline model represents a 2028 No Build Mesoscale Air Quality Analysis </t>
  </si>
  <si>
    <t>Output from VISSIM microsimulation model</t>
  </si>
  <si>
    <t>Average speed; Vehicle Miles Traveled; Vehicle Hours Traveled</t>
  </si>
  <si>
    <t>Table 2B-1. Mesoscale Air Quality Analysis - Air Pollutants by Year, No-Build Scenario</t>
  </si>
  <si>
    <t>Table 2B-2. Mesoscale Air Quality Analysis - Air Pollutants by Year, Preferred Action Scenario</t>
  </si>
  <si>
    <t>Table 2B-3. Mesoscale Air Quality Analysis - Estimated Reduction in Air Pollutants by Year, Preferred Action Scenario</t>
  </si>
  <si>
    <t>Table 2B-4. Mesoscale Air Quality Analysis - Estimated Reduction in Air Pollutants by Year, Preferred Action Scenario</t>
  </si>
  <si>
    <t>Table 3B-4. ALTERNATE Emissions Backup for All Years in Analysis Window</t>
  </si>
  <si>
    <t>3. Travel Time Savings Summary</t>
  </si>
  <si>
    <t>Table 3-1. Travel Time Savings Benefits Summary, Opening Year (2028)</t>
  </si>
  <si>
    <t>Scenario</t>
  </si>
  <si>
    <t>Total Traffic in Network (Veh/Day)</t>
  </si>
  <si>
    <t>Vehicle Miles Traveled (VMT/Day)</t>
  </si>
  <si>
    <t>Vehicle Hours Traveled (VHT/Day)</t>
  </si>
  <si>
    <t>Average Speed (MPH)</t>
  </si>
  <si>
    <t>Average Delay (Hrs/Veh/Day)</t>
  </si>
  <si>
    <t>Travel Time Savings Benefit ($/Day)</t>
  </si>
  <si>
    <t>Annual Benefit ($/Year)</t>
  </si>
  <si>
    <t>2028 No-Build</t>
  </si>
  <si>
    <t>2028 Preferred Action</t>
  </si>
  <si>
    <t>Table 3-2. Travel Time Savings Benefits Summary, Design Year (2058)</t>
  </si>
  <si>
    <t>2058 No-Build</t>
  </si>
  <si>
    <t>2058 Preferred Action</t>
  </si>
  <si>
    <t>Table 3-3. Travel Time Savings Change Rates, 2028-2058</t>
  </si>
  <si>
    <t>Annual Change 
No-Build</t>
  </si>
  <si>
    <t>Annual Change 
Preferred Action</t>
  </si>
  <si>
    <t>Table 3.4 Travel Time Savings Summary</t>
  </si>
  <si>
    <t>Total Traffic in Network 
(Avg. Veh/Day)</t>
  </si>
  <si>
    <t>Vehicle Miles Traveled 
(Avg. VMT/Day)</t>
  </si>
  <si>
    <t>Vehicle Hours Traveled 
(Avg. VHT/Day)</t>
  </si>
  <si>
    <t>Total Delay
(Avg. Hours/Day)</t>
  </si>
  <si>
    <t>Travel Time Savings Benefit (Avg. $/Year)</t>
  </si>
  <si>
    <t>No-Build, 2028-2058</t>
  </si>
  <si>
    <t>Preferred Action, 2028-2058</t>
  </si>
  <si>
    <t>3B. Travel Time Savings Backup, 2028 (Opening Year)</t>
  </si>
  <si>
    <t xml:space="preserve">The analysis assumes that traffic patterns remain consistent through this study area, however, traffic volumes will continue to grow at a rate of approximately 0.25% annually over the 30-year planning horizon for this analysis. Upcoming potential area development remains speculative, however, is anticipated to be covered within the steady, modest growth rate. 
Growth in delay times and volumes are assumed to be linear between the opening year and design year. While the Route 37 corridor is busy year-round and throughout the week supporting commuter, commercial, and freight travel, benefits for reductions in delays were applied only for weekdays (270 days per year). Given the nature of this corridor that was a conservative assumption to limit accrued benefits. </t>
  </si>
  <si>
    <t>VISSIM microscopic traffic modelling software was used to project travel times through the study area for five different scenarios (2023 Existing, 2028 No-Build, 2028 Preferred Action - Opening Year, 2058 No-Build, and 2058 Preferred Action). Each scenarios was run for a 15-hour period from 6:00am-8:00pm for 10 iterations (random seeds) each. Model outputs included vehicles in the network, vehicle miles traveled, vehicle hours traveled, average speed, and average delay. 
In this tab (3B), 2028 travel time impacts are profiled for existing, no-action, and preferred action scenarios. In Tab 3C, no-action and preferred action scenarios are profiled for the design year (2058).
In Tab 3D, those inputs were then extended to annual impacts. 2028 impacts are calculated as a baeline benefits year, but benefits are not captured in that year as the project is expected to complete in late 2028.</t>
  </si>
  <si>
    <t xml:space="preserve">The Existing Condtion model represents a 2023 condition. </t>
  </si>
  <si>
    <t xml:space="preserve">Historic and 2022 turning movement counts and traffic volume data adjusted to represent a 2023 Existing Condition. </t>
  </si>
  <si>
    <t>The model outputs were monetized using the value of travel time savings and assumed vehicle occupancy rates provided by the Benefit Cost Analysis Guidance for Discretionary Grant Programs (January 2023).</t>
  </si>
  <si>
    <t>Table 3B-1. Project Limit Network MOEs Summary - Existing 2022 Conditions</t>
  </si>
  <si>
    <t>Time</t>
  </si>
  <si>
    <t>Total Vehicles in Network</t>
  </si>
  <si>
    <t>VMT: Total Path Distance (mi)</t>
  </si>
  <si>
    <t>VHT: Total Time in Network (hr)</t>
  </si>
  <si>
    <t>Average Speed (mph)</t>
  </si>
  <si>
    <t>Total Delay (hr)</t>
  </si>
  <si>
    <t>Average Delay (hr/veh)</t>
  </si>
  <si>
    <t>Table 3B-2. Delays by Vehicle Type, Existing 2022 Conditions</t>
  </si>
  <si>
    <t>Car Traffic Share</t>
  </si>
  <si>
    <t>Truck Traffic Share</t>
  </si>
  <si>
    <t>Car Traffic</t>
  </si>
  <si>
    <t>Car Delay 
(hrs)</t>
  </si>
  <si>
    <t>Truck Traffic</t>
  </si>
  <si>
    <t>Truck Delay (hrs)</t>
  </si>
  <si>
    <t>Table 3B-3. Project Limits Network MOEs Summary, Projected 2028 No-Action Conditions</t>
  </si>
  <si>
    <t>Table 3B-4. Delays by Vehicle Type, Projected 2028 No-Action Conditions</t>
  </si>
  <si>
    <t>Table 3B-5. Project Limits Network MOEs Summary - Projected 2028 (Opening Year) Proposed Action Conditions</t>
  </si>
  <si>
    <t>Total Vehicles Traveling Within the Network</t>
  </si>
  <si>
    <t>VHT: Total Time Within the Network (hr)</t>
  </si>
  <si>
    <t>Total Delay: All Vehicles (hr)</t>
  </si>
  <si>
    <t>Average Delay: Per Vehicle (hr/veh)</t>
  </si>
  <si>
    <t>Table 3B-6. Project Limits Network MOEs Summary - Projected 2028 (Opening Year) Proposed Action Delays</t>
  </si>
  <si>
    <t>Table 3B-7. Travel Time Savings Benefits Summary - Projected 2028 Conditions</t>
  </si>
  <si>
    <t>Car Delay Savings (hrs)</t>
  </si>
  <si>
    <t>Truck Delay Savings (hrs)</t>
  </si>
  <si>
    <t>Car Savings Benefits (Daily)</t>
  </si>
  <si>
    <t>Truck Savings Benefits (Daily)</t>
  </si>
  <si>
    <t>Total Benefits, Low (270 Days)</t>
  </si>
  <si>
    <t>Total Benefits, High (365 Days)</t>
  </si>
  <si>
    <t>3C. Travel Time Savings Backup, 2058 (Last Year of Analysis)</t>
  </si>
  <si>
    <t>Table 3C-1. Project Limit Network MOEs Summary - Projected 2058 No-Action Conditions</t>
  </si>
  <si>
    <t>Table 3C-2. Delays by Vehicle Type, Projected 2058 No-Action Conditions</t>
  </si>
  <si>
    <t>Table 3C-3. Project Limits Network MOEs Summary - Projected 2058 Proposed Action Conditions</t>
  </si>
  <si>
    <t>Table 3C-4. Project Limits Network MOEs Summary - Projected 2058 Delays, Proposed Action</t>
  </si>
  <si>
    <t>Table 4C-7. Travel Time Savings Benefits Summary - Projected 2058 Conditions</t>
  </si>
  <si>
    <t>3D. Travel Time Savings Backup 3, All Years</t>
  </si>
  <si>
    <t>Table 3D-1. Daily Project Limits Network MOEs Summary, No-Action Scenario by Year</t>
  </si>
  <si>
    <t>Total Delay (hrs/day)</t>
  </si>
  <si>
    <t>Table 3D-2. Daily Project Limits Network MOEs Summary, Preferred Action Scenario by Year</t>
  </si>
  <si>
    <t>Table 3D-3. Tavel Time Savings Benefits Summary, Preferred Action Scenario, All Years</t>
  </si>
  <si>
    <t>Car Delay Savings (Hrs/Day)</t>
  </si>
  <si>
    <t>Truck Delay Savings (Hrs/Day)</t>
  </si>
  <si>
    <t>Car Savings Benefits ($/Day)</t>
  </si>
  <si>
    <t>Truck Savings Benefits ($/Day)</t>
  </si>
  <si>
    <t>Annual Benefits, Low (270 Days)</t>
  </si>
  <si>
    <t>Annual Benefits, High (365 Days)</t>
  </si>
  <si>
    <t>Job Creation Benefit</t>
  </si>
  <si>
    <t>Constructing the Missing Move and the Quonset Ramps</t>
  </si>
  <si>
    <r>
      <t xml:space="preserve">From the 2014 Notice of Funding Availability (NOFA) for TIGER Grants, FHWA noted the following:
          "The Executive Office of the President, Council of Economic Advisers (CEA), issued a memorandum in May 2009 on “Estimates of Job Creation from the American Recovery and Reinvestment Act of 2009.” That memorandum provided a simple rule for estimating job-years created by government spending, which is that $92,000 of government spending creates one job-year (or 10,870 job-years per billion dollars of spending). More recently, in September 2011, based on further analysis both of actual job-creation experience from transportation projects under the Recovery Act and on further macroeconomic analysis, the CEA determined that a job-year is created by every </t>
    </r>
    <r>
      <rPr>
        <b/>
        <sz val="10"/>
        <color theme="1"/>
        <rFont val="Segoe UI"/>
        <family val="2"/>
      </rPr>
      <t>$76,923 in transportation infrastructure spending (or 13,000 job-years per billion dollars of transportation infrastructure spending).</t>
    </r>
    <r>
      <rPr>
        <sz val="10"/>
        <color theme="1"/>
        <rFont val="Segoe UI"/>
        <family val="2"/>
      </rPr>
      <t xml:space="preserve"> This figure can be used in place of the earlier $92,000/job-year estimate.
</t>
    </r>
    <r>
      <rPr>
        <b/>
        <sz val="10"/>
        <color theme="1"/>
        <rFont val="Segoe UI"/>
        <family val="2"/>
      </rPr>
      <t xml:space="preserve">
</t>
    </r>
    <r>
      <rPr>
        <sz val="10"/>
        <color theme="1"/>
        <rFont val="Segoe UI"/>
        <family val="2"/>
      </rPr>
      <t xml:space="preserve">In addition, a 2017 Georgetown University report, "Trillion Dollar Infrastructure Proposals Could Create Millions of Jobs," noted that "President Trump's infrastructure plan would create jobs for workers at every education level," anticipating the following breakdown for job distributions:
        •  55 percent would go to workers with a high school education or less.
        •  24 percent would go to workers with a postsecondary vocational certificate or some college education but no degree.
        •  8 percent would go to workers with an Associate’s degree.
        •  13 percent would go to workers with a Bachelor’s or advanced degree.
The report also provided estimates of typical salaries, both in infrastructure and non-infrastructure jobs. These inputs were used for the calculations presented below.
</t>
    </r>
    <r>
      <rPr>
        <b/>
        <sz val="10"/>
        <color theme="1"/>
        <rFont val="Segoe UI"/>
        <family val="2"/>
      </rPr>
      <t>This project will generate both direct and indirect job creation.</t>
    </r>
    <r>
      <rPr>
        <sz val="10"/>
        <color theme="1"/>
        <rFont val="Segoe UI"/>
        <family val="2"/>
      </rPr>
      <t xml:space="preserve"> Pursuant to the guidance referenced above, RIDOT expects this project to generate </t>
    </r>
    <r>
      <rPr>
        <b/>
        <sz val="10"/>
        <color theme="1"/>
        <rFont val="Segoe UI"/>
        <family val="2"/>
      </rPr>
      <t>1,105</t>
    </r>
    <r>
      <rPr>
        <sz val="10"/>
        <color theme="1"/>
        <rFont val="Segoe UI"/>
        <family val="2"/>
      </rPr>
      <t xml:space="preserve"> job-years, </t>
    </r>
    <r>
      <rPr>
        <b/>
        <sz val="10"/>
        <color theme="1"/>
        <rFont val="Segoe UI"/>
        <family val="2"/>
      </rPr>
      <t xml:space="preserve">58 </t>
    </r>
    <r>
      <rPr>
        <sz val="10"/>
        <color theme="1"/>
        <rFont val="Segoe UI"/>
        <family val="2"/>
      </rPr>
      <t xml:space="preserve"> of which will be new jobs. Using these figures and calculating the value of productivity increases for those simply moving jobs, RIDOT estimates that this project will generate nearly </t>
    </r>
    <r>
      <rPr>
        <b/>
        <sz val="10"/>
        <color theme="1"/>
        <rFont val="Segoe UI"/>
        <family val="2"/>
      </rPr>
      <t>$7.5 Million</t>
    </r>
    <r>
      <rPr>
        <sz val="10"/>
        <color theme="1"/>
        <rFont val="Segoe UI"/>
        <family val="2"/>
      </rPr>
      <t xml:space="preserve"> in job creation benefits during construction years. It is also highly likely that this project will have outsize long-term benefits on job creation in the Providence area, which are not quantified here.  </t>
    </r>
  </si>
  <si>
    <t>Table 1: Total Job-Years Created</t>
  </si>
  <si>
    <t>Table 3: Job Creation Benefits</t>
  </si>
  <si>
    <t>Total Transportation Infrastructure Spending</t>
  </si>
  <si>
    <t>New Jobs Created</t>
  </si>
  <si>
    <t>Spending per Job-Year</t>
  </si>
  <si>
    <t>Value of New Jobs**</t>
  </si>
  <si>
    <t>Total Job-Years Created</t>
  </si>
  <si>
    <t>Jobs Changed</t>
  </si>
  <si>
    <t>Value of Changed Jobs</t>
  </si>
  <si>
    <t>Table 2: Job Type Distributions and Corresponding Income Levels</t>
  </si>
  <si>
    <t>EDUCATION LEVEL</t>
  </si>
  <si>
    <t>PROPORTION OF INFRASTRUCTURE JOBS CREATED</t>
  </si>
  <si>
    <t>AVERAGE INCOME, INFRASTRUCTURE JOBS</t>
  </si>
  <si>
    <t>AVERAGE INCOME, OTHER JOBS</t>
  </si>
  <si>
    <t>INCOME CHANGE PER JOB</t>
  </si>
  <si>
    <t>UNEMPLOYMENT RATE*</t>
  </si>
  <si>
    <t>TOTAL VALUE OF JOB CREATION BENEFITS</t>
  </si>
  <si>
    <t>Less Than High School</t>
  </si>
  <si>
    <t>High School</t>
  </si>
  <si>
    <t>Some College</t>
  </si>
  <si>
    <t>Associates Degree</t>
  </si>
  <si>
    <t>Bachelor's Degree</t>
  </si>
  <si>
    <t>Graduate Degree</t>
  </si>
  <si>
    <t>* SOURCE: Bureau of Labor Statistics, 2017</t>
  </si>
  <si>
    <t>** Calculation assumes that of the new job-years created by this project, a percentage, equal to the unemployment rate by education level, will be new jobs, so the productivity increase is equivalent to the total salary of the infrastructure position. For all other jobs, the benefit is equal to the expected change in salary from any other job.</t>
  </si>
  <si>
    <t>Table 1. Job Creation Estimates by Year Based on Projected Spending</t>
  </si>
  <si>
    <t>Year Count</t>
  </si>
  <si>
    <t>Estimated Expenditure</t>
  </si>
  <si>
    <t>Projected TOTAL Job-Years Created</t>
  </si>
  <si>
    <t>Projected NEW Job Years Created</t>
  </si>
  <si>
    <t>Estimated NEW Job Value</t>
  </si>
  <si>
    <t>Projected CHANGED Jobs</t>
  </si>
  <si>
    <t>Estimated CHANGED Job Value</t>
  </si>
  <si>
    <t>Projected TOTAL Job Creation Benefit ($)</t>
  </si>
  <si>
    <t>Job Creation Benefit Discounted at 7%</t>
  </si>
  <si>
    <t>Job Creation Benefit Discounted at 3%</t>
  </si>
  <si>
    <t>TOTALS</t>
  </si>
  <si>
    <t>4. Foregone Cost Savings</t>
  </si>
  <si>
    <t>Without the requested RAISE grant funding support, RIDOT will not be able to execute the preferred alternative presented in this application on the more accelerated/preferred timeline, and therefore cannot guarantee that the key components of this project will be completed within the next 30 years. RIDOT will have to take a fiscally constrained approach to addressing maintenance incrementally. Therefore, in the no action alternative, RIDOT will be forced to plan for incremental maintenance and delayed bridge replacement/rehabilitations.   
Table 1 below outlines the costs foregone by the project which are otherwise spread over the 30 year planning horizon. These are primarily maintenance costs, however, due to the already very poor condition of bridges 636 and 637 and the ongoing challenges of construction work over Amtrak the replacement of those bridges maybe be performed incrementally over several projects to avoid substantial weight restrictions or closures. Basic maintenance for bridges #616, 623, 624, and 818 are comparable and also documented as part of the Lifecycle Management Costs. 
For simplicity, these costs are averaged over 30 years in the calculations of the overall benefit-cost ratio for this project.
Table 2 breaks down the cost into individual rehabilitation projects that would be needed over the planning horizon.</t>
  </si>
  <si>
    <t>Table 4-1. Foregone Cost Savings Summary - Annual Costs Anticipated Over 30 years</t>
  </si>
  <si>
    <t>Expense</t>
  </si>
  <si>
    <t>Annual Average</t>
  </si>
  <si>
    <t>Bridge 636 &amp; 637 Full Replacement</t>
  </si>
  <si>
    <t>Bridges 818, 616, 623, 624 Annual Maintenance</t>
  </si>
  <si>
    <t>Bridge 625 Annual Maintenance</t>
  </si>
  <si>
    <t>Bridge 638 Annual Maintenance</t>
  </si>
  <si>
    <t>Table 4-2. Foregone Cost Savings Summary - One Time Replacement Costs for Bridges Eliminated</t>
  </si>
  <si>
    <t>Bridge 625 Full Replacement</t>
  </si>
  <si>
    <t>Bridge 638 Full Replacement</t>
  </si>
  <si>
    <t>4B. Foregone Cost Savings Backup</t>
  </si>
  <si>
    <t>Without the requested RAISE grant funding support, RIDOT will not be able to execute the preferred alternative presented in this application on the more accelerated/preferred timeline, and therefore cannot guarantee that the key components of this project will be completed within the next 30 years. RIDOT will have to take a fiscally constrained approach to addressing maintenance incrementally. Therefore, in the no action alternative, RIDOT will be forced to plan for incremental maintenance and delayed bridge replacement/rehabilitations.</t>
  </si>
  <si>
    <t xml:space="preserve">Based on historic bridge data and best practices, the existing bridge deterioration is projected to future years. Similarly, based on historic information, future unit cost projections are applied to the projected deterioration. </t>
  </si>
  <si>
    <t>Cost estimation based on 2022 bridge inspection reports.</t>
  </si>
  <si>
    <t xml:space="preserve">2022 RIDOT Bridge Inspection Reports, RIDOT weighted average unit price database. </t>
  </si>
  <si>
    <t>RIDOT historic cost estimates</t>
  </si>
  <si>
    <t>Bridge 638 - Post Road (2025 Full Replacement)</t>
  </si>
  <si>
    <t>Cost Type</t>
  </si>
  <si>
    <t>Square Feet/Each</t>
  </si>
  <si>
    <t>Unit Cost/EA/SF</t>
  </si>
  <si>
    <t>Iterations</t>
  </si>
  <si>
    <t>Total Cost</t>
  </si>
  <si>
    <t xml:space="preserve">Bridge Replacement </t>
  </si>
  <si>
    <t>Subtotal Foregone Cost Before EC&amp;M</t>
  </si>
  <si>
    <t>Engineering, Contingencies, and Mobilizations (30%)</t>
  </si>
  <si>
    <t>Other Costs</t>
  </si>
  <si>
    <t xml:space="preserve">Subtotal Foregone Cost </t>
  </si>
  <si>
    <t>Bridge 638 - Post Road (30 Year Maintenance)</t>
  </si>
  <si>
    <t>Bridge Washing</t>
  </si>
  <si>
    <t>Joint Replacement, RC Protective Coating, RC Patching</t>
  </si>
  <si>
    <t>Joint Replacement, RC Protective Coating, RC Patching, Steel Repairs</t>
  </si>
  <si>
    <t>Minor Rehab</t>
  </si>
  <si>
    <t>Table 4B-4. No Action Bridge Strike Work Zone Impact</t>
  </si>
  <si>
    <t>Parameter</t>
  </si>
  <si>
    <t>Unit</t>
  </si>
  <si>
    <t>Daily Traffic:</t>
  </si>
  <si>
    <t>vehicles</t>
  </si>
  <si>
    <t>Percentage of daily cars:</t>
  </si>
  <si>
    <t>Bridge strikes occur once every 2 years (every 4 years per bridge x 2 bridges). The average strike requires the closure of 2-3 travel lanes over a 6-8 hour period to assess damage and remove crash damage.</t>
  </si>
  <si>
    <t>Percentage of daily trucks:</t>
  </si>
  <si>
    <t>Cost of Additional Travel Time (cars):</t>
  </si>
  <si>
    <t>dollars</t>
  </si>
  <si>
    <t>Cost of Additional Travel Time (commercial):</t>
  </si>
  <si>
    <t>Additional commuting time:</t>
  </si>
  <si>
    <t>hours/day</t>
  </si>
  <si>
    <t>Length of work zone impacts</t>
  </si>
  <si>
    <t>days</t>
  </si>
  <si>
    <t>Total Bridge Strike Work Zone Impact</t>
  </si>
  <si>
    <t>Bridge 625 - Howard Road (2028 Full Replacement)</t>
  </si>
  <si>
    <t>Bridge Replacement per RIDOT Maintenance Plan</t>
  </si>
  <si>
    <t>Other Costs - RIDOT Green sheet</t>
  </si>
  <si>
    <t>Bridge 625 - Howard Road (30 Year Maintenance)</t>
  </si>
  <si>
    <t>Replace Membrane &amp; Overlay, Minor Deck Repairs</t>
  </si>
  <si>
    <t>Bridges 637 &amp; 638  - Hillsgrove RR North &amp; South (Full Replacement over 30 years)</t>
  </si>
  <si>
    <t>Bridge Replacement - 636</t>
  </si>
  <si>
    <t>Bridge Replacement - 637</t>
  </si>
  <si>
    <t>Other Costs - RIDOT Green Sheet</t>
  </si>
  <si>
    <t>5. Transit Facility Improvement Benefits</t>
  </si>
  <si>
    <t xml:space="preserve">Historic RIPTA ridership estimates no riders using the nearby stop. Therefore, no improvements propsed. </t>
  </si>
  <si>
    <t>Table 5-1. Transit Facility Benefits Summary</t>
  </si>
  <si>
    <t>Facility Type</t>
  </si>
  <si>
    <t>Annual Ridership</t>
  </si>
  <si>
    <t>Annual Benefit</t>
  </si>
  <si>
    <t>Notes</t>
  </si>
  <si>
    <t>5B. Transit Facility Improvement Benefits Backup</t>
  </si>
  <si>
    <t>Table 5B-1. Transit Facility Improvement Benefits by Stop</t>
  </si>
  <si>
    <t>Stop ID</t>
  </si>
  <si>
    <t>Name</t>
  </si>
  <si>
    <t>Daily Ridership on</t>
  </si>
  <si>
    <t>Daily Ridership off</t>
  </si>
  <si>
    <t>Latitude</t>
  </si>
  <si>
    <t>Longitude</t>
  </si>
  <si>
    <t>Shelter and Pad</t>
  </si>
  <si>
    <t>Seating</t>
  </si>
  <si>
    <t>Daily Benefit</t>
  </si>
  <si>
    <t>5. Repurposing Right-Of-Way</t>
  </si>
  <si>
    <t>Property</t>
  </si>
  <si>
    <t>Last Sale Date</t>
  </si>
  <si>
    <t>Assessed Land Value</t>
  </si>
  <si>
    <t>Acres</t>
  </si>
  <si>
    <t>Land Value Per Acre</t>
  </si>
  <si>
    <t>1176 Post Road Warwick, RI</t>
  </si>
  <si>
    <t>1795 Post Road Warwick, RI</t>
  </si>
  <si>
    <t>2313 Post Road Warwick, RI</t>
  </si>
  <si>
    <t>40 Airport Road, Warwick, RI</t>
  </si>
  <si>
    <t>63 Airport Road, Warwick, RI</t>
  </si>
  <si>
    <t>Minimum</t>
  </si>
  <si>
    <t>Maximum</t>
  </si>
  <si>
    <t>Post Road Interchange Land</t>
  </si>
  <si>
    <t>Say</t>
  </si>
  <si>
    <t>6. Pedestrian Facility Improvement Benefits</t>
  </si>
  <si>
    <t>Table 6-1. Pedestrian Facility Benefits Summary</t>
  </si>
  <si>
    <t>Improvement</t>
  </si>
  <si>
    <t>Annual Users Affected</t>
  </si>
  <si>
    <t>Sidewalk Improvements</t>
  </si>
  <si>
    <t>At-Grade Improvements for Existing Users</t>
  </si>
  <si>
    <t>At-Grade Improvements for Additional Users</t>
  </si>
  <si>
    <t>6B. Pedestrian Facility Improvement Benefits</t>
  </si>
  <si>
    <t xml:space="preserve"> </t>
  </si>
  <si>
    <t xml:space="preserve">Minor sidewalk widening and signalized crossing installation are proposed as part of this project. </t>
  </si>
  <si>
    <t xml:space="preserve">Estimate pedestrian activity based on local knowledge, observations, and trends. </t>
  </si>
  <si>
    <t>Observationally, 10-15 pedestrians traverse Post Road and New London Avenue each during a typical evening peak period. If this is assumed to represent 10% of daily pedestrians (typical automobile K-factor in Rhode Island) then that equates to 100 pedestrians daily on each corridor.</t>
  </si>
  <si>
    <t>Table 6B-1. Sidewalk Improvement Benefits Summary</t>
  </si>
  <si>
    <t>Improvement Type - Sidewalk Improvements</t>
  </si>
  <si>
    <t>Additional Sidewalk Width (ft)</t>
  </si>
  <si>
    <t>Sidewalk Length Widened (mi)</t>
  </si>
  <si>
    <t># Daily Users</t>
  </si>
  <si>
    <t>Benefit per Mile Walked per Day</t>
  </si>
  <si>
    <t>Total Per Year</t>
  </si>
  <si>
    <t>Table 6B-2. At-Grade Crossing Improvements Benefits Summary for Existing Users</t>
  </si>
  <si>
    <t>Improvement Type - At-Grade Crossing Improvements for Existing Users</t>
  </si>
  <si>
    <t>Value per Use</t>
  </si>
  <si>
    <t># Existing Daily Users</t>
  </si>
  <si>
    <t>Benefit per Signalized Pedestrian Crossing Use per Day</t>
  </si>
  <si>
    <t>Table 6B-3. At-Grade Crossing Improvements Benefits Summary for Additional Users</t>
  </si>
  <si>
    <t>Improvement Type - At-Grade Crossing Improvements for Additional Users</t>
  </si>
  <si>
    <t># Additional  Daily Users</t>
  </si>
  <si>
    <t>7. Cycling Facility Improvement Benefits</t>
  </si>
  <si>
    <t>Table 7-1. Cycling Facility Improvement Benefits for Existing Users</t>
  </si>
  <si>
    <t>Improvement Type</t>
  </si>
  <si>
    <t xml:space="preserve">Segment </t>
  </si>
  <si>
    <t>Segment Length (mi)</t>
  </si>
  <si>
    <t># of Existing Cyclists</t>
  </si>
  <si>
    <t>Value per Cycling Mile</t>
  </si>
  <si>
    <t>Benefits to Existing Users Daily</t>
  </si>
  <si>
    <t xml:space="preserve">Annual Benefits </t>
  </si>
  <si>
    <t>Cycling Path with At-Grade Crossings</t>
  </si>
  <si>
    <t>Cycling Path with no At-Grade Crossings</t>
  </si>
  <si>
    <t>Dedicated Cycling Lane</t>
  </si>
  <si>
    <t>Table 7-2. Cycling Facility Improvement Benefits for Additional Users</t>
  </si>
  <si>
    <t>Segment</t>
  </si>
  <si>
    <t># of Induced  Cyclists</t>
  </si>
  <si>
    <t>Benefits to Additional Users Daily</t>
  </si>
  <si>
    <t>Annual Benefits</t>
  </si>
  <si>
    <t>Table 7-3. Cycling Facility Improvement Benefits Summary</t>
  </si>
  <si>
    <t>User Type</t>
  </si>
  <si>
    <t>Existing</t>
  </si>
  <si>
    <t>Additional</t>
  </si>
  <si>
    <t>8. Mortality Reduction Benefits</t>
  </si>
  <si>
    <t>Table 8-1. Mortality Reduction Benefits Summary</t>
  </si>
  <si>
    <t># Induced Trips</t>
  </si>
  <si>
    <t>% in Age Range</t>
  </si>
  <si>
    <t>% from Non-AT Modes</t>
  </si>
  <si>
    <t># Induced Trips Meeting Criteria</t>
  </si>
  <si>
    <t>Value per Induced Trip</t>
  </si>
  <si>
    <t>Benefits to Induced Users Daily</t>
  </si>
  <si>
    <t>Induced Walking</t>
  </si>
  <si>
    <t>Induced Cycling</t>
  </si>
  <si>
    <t>9. Pedestrian and Cyclist Facility Improvements Backup</t>
  </si>
  <si>
    <t>Apply to Tab 6  - Improvement Type - Sidewalk Improvements; Improvement Type - At-Grade Crossing Improvements for Existing Users
Apply to Tab 7 - Improvement Type  - Existing User Benefits</t>
  </si>
  <si>
    <t>Average Peak Hour Counts</t>
  </si>
  <si>
    <t>Peds</t>
  </si>
  <si>
    <t>Bikes</t>
  </si>
  <si>
    <t>Crossing All Approaches</t>
  </si>
  <si>
    <t>Peak hour counts from July 2022 and historic counts from 2006</t>
  </si>
  <si>
    <t>Apply to Tab 6 - Improvement Type - At-Grade Crossing Improvements for Additional Users
Applyto Tab 7 - Improvement Type  - Additional User Benefits</t>
  </si>
  <si>
    <t>Shared-Use Path Extension - Projected Use Estimation</t>
  </si>
  <si>
    <t>Assume that 50% of people driving to BRBW are there to bike and, of those less than 2 miles away, 50% will shift to riding to the path. Approximately 10 riders daily in August. Seasonally adjusted yields 5/day average.</t>
  </si>
  <si>
    <t xml:space="preserve">Existing Drivers </t>
  </si>
  <si>
    <t>Additional Path Users - With Extension</t>
  </si>
  <si>
    <t xml:space="preserve">Apply to Tab 8- </t>
  </si>
  <si>
    <t>Induced Pedestrian and Cyclist - Mode Shift Estimation</t>
  </si>
  <si>
    <t xml:space="preserve">Average Daily Traffic </t>
  </si>
  <si>
    <t>Projected Mode Shift (RI Bike Mobility Plan - Appendix 8</t>
  </si>
  <si>
    <t>Projected Mode Shift for Local Drivers to Active Transportation</t>
  </si>
  <si>
    <t>Work Zone Closure Impact (with INFRA)</t>
  </si>
  <si>
    <t>The majority of work can be built off-line with minimal impact to traffic (night work/short-term closures). Therefore, there are no Work Zone Closure costs associated with this project.</t>
  </si>
  <si>
    <t>Table 1. Work Zone Closure Impact Cost</t>
  </si>
  <si>
    <t>Timeframe:</t>
  </si>
  <si>
    <t>Impacted Daily Traffic:</t>
  </si>
  <si>
    <t>Average Additional Mileage:</t>
  </si>
  <si>
    <t>miles</t>
  </si>
  <si>
    <t>Vehicle Operating Cost (Cars):</t>
  </si>
  <si>
    <t>Vehicle Operating Cost (Trucks):</t>
  </si>
  <si>
    <r>
      <t xml:space="preserve">Total Work Zone Diversion Vehicle </t>
    </r>
    <r>
      <rPr>
        <b/>
        <u/>
        <sz val="10"/>
        <color theme="1"/>
        <rFont val="Segoe UI"/>
        <family val="2"/>
      </rPr>
      <t>Operating</t>
    </r>
    <r>
      <rPr>
        <b/>
        <sz val="10"/>
        <color theme="1"/>
        <rFont val="Segoe UI"/>
        <family val="2"/>
      </rPr>
      <t xml:space="preserve"> Cost</t>
    </r>
  </si>
  <si>
    <t>Table 2. Work Zone Diversion Impact Cost</t>
  </si>
  <si>
    <t>Average Vehicle Occupancy (all purpose/cars):</t>
  </si>
  <si>
    <t>persons per vehicle</t>
  </si>
  <si>
    <t>Average Vehicle Occupancy (commercial trucks):</t>
  </si>
  <si>
    <t>Anticipated Speed at Peak Times:</t>
  </si>
  <si>
    <t>mph</t>
  </si>
  <si>
    <r>
      <t xml:space="preserve">Total Work Zone Diversion </t>
    </r>
    <r>
      <rPr>
        <b/>
        <u/>
        <sz val="10"/>
        <color theme="1"/>
        <rFont val="Segoe UI"/>
        <family val="2"/>
      </rPr>
      <t>Delay</t>
    </r>
    <r>
      <rPr>
        <b/>
        <sz val="10"/>
        <color theme="1"/>
        <rFont val="Segoe UI"/>
        <family val="2"/>
      </rPr>
      <t xml:space="preserve"> Cost</t>
    </r>
  </si>
  <si>
    <t>Net TOTAL Work Zone Closure Impact</t>
  </si>
  <si>
    <t>10. Future Eligible Project Costs (With RAISE)</t>
  </si>
  <si>
    <t>RIDOT and VHB developed a cost estimate based on the items identified in inspection reports, field reviews, and additional prioritization of preventative work to reduce further maintenance costs. Quantity-level estimates were developed and revised as shown below.</t>
  </si>
  <si>
    <t>RIDOT WAUP data; bridge inspection data; historical average soft costs</t>
  </si>
  <si>
    <t>2% future inflation rate; RIDOT blue book cost escalation policies</t>
  </si>
  <si>
    <t>Table 10-1. Summary of Future Eligible Project Costs by Phase and Task</t>
  </si>
  <si>
    <t>Phase</t>
  </si>
  <si>
    <t>Task</t>
  </si>
  <si>
    <t>Federal Fiscal Year (FFY)</t>
  </si>
  <si>
    <t>Expected Cost ($)</t>
  </si>
  <si>
    <t>Contingency 
($)</t>
  </si>
  <si>
    <t>Total 
($)</t>
  </si>
  <si>
    <t>Design</t>
  </si>
  <si>
    <t>Construction</t>
  </si>
  <si>
    <t>Other</t>
  </si>
  <si>
    <t xml:space="preserve">Table 10-2. Backup for Future Eligible Costs - </t>
  </si>
  <si>
    <t>Quantity</t>
  </si>
  <si>
    <t>Units</t>
  </si>
  <si>
    <t>Cost</t>
  </si>
  <si>
    <t>Tot</t>
  </si>
  <si>
    <t>Subtotal--</t>
  </si>
  <si>
    <t>Table 10-3. Backup for Future Eligible Costs--</t>
  </si>
  <si>
    <t>Table 10-4. Miscellaneous Other Costs and Work Items</t>
  </si>
  <si>
    <t>Table 10-2. Total Future Eligible Cost Summation</t>
  </si>
  <si>
    <t>Percentage Share</t>
  </si>
  <si>
    <t>Current-Year Dollars</t>
  </si>
  <si>
    <t>Project-Year Dollars 
(Assume 2026 NTP)</t>
  </si>
  <si>
    <t>SAY 
(Final Estimate)</t>
  </si>
  <si>
    <t>Consultant - Design</t>
  </si>
  <si>
    <t>RIDOT In-House Staff</t>
  </si>
  <si>
    <t>RIDOT Planning Staff</t>
  </si>
  <si>
    <t>ROW Easements / Acquisitions</t>
  </si>
  <si>
    <t>Utility - Design</t>
  </si>
  <si>
    <t>Utility - Construction</t>
  </si>
  <si>
    <t>Police Detail</t>
  </si>
  <si>
    <t>Consultant - Construction</t>
  </si>
  <si>
    <t>RIDOT Construction Staff</t>
  </si>
  <si>
    <t>RIDOT Materials Staff / Subs</t>
  </si>
  <si>
    <t>3rd Party Consultant</t>
  </si>
  <si>
    <t>Contingency</t>
  </si>
  <si>
    <t>RIDOT Project Manager</t>
  </si>
  <si>
    <t>RIDOT Other Labor</t>
  </si>
  <si>
    <t>Misc.</t>
  </si>
  <si>
    <t>TOTAL--Future Eligible Project Costs</t>
  </si>
  <si>
    <t>11. Work Zone Impact Costs (With RAISE)</t>
  </si>
  <si>
    <t xml:space="preserve">It is estimated that approximately 59,000 vehicles will be directly impacted by bridge work zone impacts from this project. </t>
  </si>
  <si>
    <t xml:space="preserve">To be conservative, RIDOT is calculating the anticipated work zone impact using 200% of the projected 2028 weighted average delay. In other words, this benefit-cost analysis assumes that for the duration of the construction period, typical DELAY times through the corridor will increase by 100% for all vehicles traveling through the immediate area. The construction timeframe for the preferred action scenario is estimated at fewer than 60 days spread over multiple weekends. Conservatively, this estimate uses 60 days. The vast majority of construction work will be completed offline. </t>
  </si>
  <si>
    <t>Existing conditions and alignments within the project limits</t>
  </si>
  <si>
    <t>Traffic analysis presented in Section 4 of this BCA</t>
  </si>
  <si>
    <t>The expense of additional travel time for all affected vehicles is calculate below. From the U.S. Department of Transportation's "Benefit-Cost Analysis Guidance for Discretionary Grant Programs," All Purpose private vehicle travel monetized value is $18.80 and for Commercial Vehicle operators (an average of truck drivers and bus drivers) is $32.40.</t>
  </si>
  <si>
    <t>Table 11-1. Preferred Action Scenario Bridge Rehab Work Zone Impact</t>
  </si>
  <si>
    <t>Total Bridge Rehab Work Zone Impact</t>
  </si>
  <si>
    <t>With Proposed Improvements (Preferred Action Scenario--With Grant)</t>
  </si>
  <si>
    <t>Table 11-2. Projected Impact by Year</t>
  </si>
  <si>
    <t>12. Lifecycle Management Costs (With RAISE)</t>
  </si>
  <si>
    <t>Assumes that two bridges are demolished. Pricing to routine maintenance of remaining bridges following project construction.</t>
  </si>
  <si>
    <t xml:space="preserve">Cost estimation based on 2022 bridge inspection reports and historic pricing. </t>
  </si>
  <si>
    <t>RIDOT historic cost estimates, see Bridge Maintenance Plan and Corridor Maintenance Plan</t>
  </si>
  <si>
    <t>Table 12-1. Future Bridge Maintenance Costs, Preferred Action Scenario</t>
  </si>
  <si>
    <t>Bridge ID</t>
  </si>
  <si>
    <t>Description / Task</t>
  </si>
  <si>
    <t>Unit Cost</t>
  </si>
  <si>
    <t>30 Year Maintenance Cost</t>
  </si>
  <si>
    <t>30-Year Cost 
($)</t>
  </si>
  <si>
    <t>Maintenance</t>
  </si>
  <si>
    <t>Table 12-2. Future Bridge Maintenance Costs, Preferred Action Scenario</t>
  </si>
  <si>
    <t>Description/Task</t>
  </si>
  <si>
    <t>Units/Square Yard/Each</t>
  </si>
  <si>
    <t>Unit Cost/EA/SY</t>
  </si>
  <si>
    <t>High Friction Surface Treatment</t>
  </si>
  <si>
    <t>Subtotal Foregone Cost, Pavement Reconstruction</t>
  </si>
  <si>
    <t>Table 12-3. Future Eligible Costs Summary</t>
  </si>
  <si>
    <t>Description</t>
  </si>
  <si>
    <t>Cost Over 30 Years</t>
  </si>
  <si>
    <t>Bridge Maintenance</t>
  </si>
  <si>
    <t>30-Year Lifecycle Maintenance</t>
  </si>
  <si>
    <t>Pavement Maintenance</t>
  </si>
  <si>
    <t>Appendix A. Parameter Values</t>
  </si>
  <si>
    <t>This tab includes parameter values published in USDOT's "Benefit-Cost Analysis Guidance for Discretionary Grant Programs" (March 2022).
The values listed on this tab are utilized throughout this benefit-cost analysis.</t>
  </si>
  <si>
    <t>Table A-1/A-2. Value of Reduced Fatalities, Injuries, and Damage</t>
  </si>
  <si>
    <t>Table A-6. Damage Costs for Emissions per Metric Ton*</t>
  </si>
  <si>
    <t>KABCO Level/Crash Type</t>
  </si>
  <si>
    <t>Monetized Value (2021 $)</t>
  </si>
  <si>
    <t>Table A-2. Property Damage Only (PDO) Crashes</t>
  </si>
  <si>
    <t>Crash Type</t>
  </si>
  <si>
    <t>Monetized Value (2020 $)</t>
  </si>
  <si>
    <t>Property Damage Only (PDO)</t>
  </si>
  <si>
    <t>Table A-3. Recommended Travel Time Savings</t>
  </si>
  <si>
    <t>Category</t>
  </si>
  <si>
    <t>Hourly Value</t>
  </si>
  <si>
    <t>Personal</t>
  </si>
  <si>
    <t>Business</t>
  </si>
  <si>
    <t>All Purposes</t>
  </si>
  <si>
    <t>Walking, Cycling, Waiting, Standing, and Transfer Time</t>
  </si>
  <si>
    <t>Truck Drivers</t>
  </si>
  <si>
    <t>Bus Drivers</t>
  </si>
  <si>
    <t>Transit Rail Operators</t>
  </si>
  <si>
    <t>Locomotive Engineers</t>
  </si>
  <si>
    <t>Table A-4. Average Vehicle Occupancy Rates for Highway Passenger Vehicles</t>
  </si>
  <si>
    <t>Vehicle Type</t>
  </si>
  <si>
    <t>Average Occupancy</t>
  </si>
  <si>
    <t>Passenger Vehicles (Weekday Peak)</t>
  </si>
  <si>
    <t>Passenger Vehicles (Weekday Off-Peak)</t>
  </si>
  <si>
    <t>Passenger Vehicles (Weekend)</t>
  </si>
  <si>
    <t>Passenger Vehicles (All Travel)</t>
  </si>
  <si>
    <t>Table A-5. Vehicle Operating Costs</t>
  </si>
  <si>
    <t>Recommended Value per Mile (2020 $)</t>
  </si>
  <si>
    <t>Light Duty Vehicles</t>
  </si>
  <si>
    <t>Commercial Trucks</t>
  </si>
  <si>
    <r>
      <t>* CO</t>
    </r>
    <r>
      <rPr>
        <vertAlign val="subscript"/>
        <sz val="10"/>
        <color theme="1"/>
        <rFont val="ArialMT"/>
      </rPr>
      <t>2</t>
    </r>
    <r>
      <rPr>
        <sz val="10"/>
        <color theme="1"/>
        <rFont val="ArialMT"/>
      </rPr>
      <t xml:space="preserve"> figures taken from February 2021 USDOT Benefit-Cost Analysis Guidance for Discretionary Grant Programs</t>
    </r>
  </si>
  <si>
    <t>Table A-7. Inflation Adjustment Values</t>
  </si>
  <si>
    <t>Table A-10. Transit Facility Amenity</t>
  </si>
  <si>
    <t>Base Year</t>
  </si>
  <si>
    <t>Multiplier</t>
  </si>
  <si>
    <t xml:space="preserve">Attribute Type </t>
  </si>
  <si>
    <t xml:space="preserve"> Bus Stop </t>
  </si>
  <si>
    <t xml:space="preserve"> Light Rail/Streetcar Stop </t>
  </si>
  <si>
    <t xml:space="preserve"> Rail Station </t>
  </si>
  <si>
    <t xml:space="preserve">Clocks </t>
  </si>
  <si>
    <t xml:space="preserve">Electronic Real-Time Information Displays </t>
  </si>
  <si>
    <t xml:space="preserve">Information /Emergency Button </t>
  </si>
  <si>
    <t xml:space="preserve">PA System </t>
  </si>
  <si>
    <t xml:space="preserve">Platform/Stop Seating Availability1 </t>
  </si>
  <si>
    <t xml:space="preserve">Platform/Stop Weather Protection1 </t>
  </si>
  <si>
    <t xml:space="preserve">Restroom Availability </t>
  </si>
  <si>
    <t xml:space="preserve">Retail/Food Outlet Availability </t>
  </si>
  <si>
    <t xml:space="preserve">Staff Availability </t>
  </si>
  <si>
    <t xml:space="preserve">Step-Free Access to Station/Stop </t>
  </si>
  <si>
    <t xml:space="preserve">Step-Free Access to Vehicle </t>
  </si>
  <si>
    <t xml:space="preserve">Surveillance Cameras </t>
  </si>
  <si>
    <t xml:space="preserve">Temperature Controlled Environment1 </t>
  </si>
  <si>
    <t xml:space="preserve">Ticket Machines </t>
  </si>
  <si>
    <t xml:space="preserve">Timetables </t>
  </si>
  <si>
    <t xml:space="preserve">Bike Facilities </t>
  </si>
  <si>
    <t xml:space="preserve">Car Access Facilities </t>
  </si>
  <si>
    <t xml:space="preserve">Elevator </t>
  </si>
  <si>
    <t xml:space="preserve">Escalators </t>
  </si>
  <si>
    <t xml:space="preserve">On-Site Ticket Office </t>
  </si>
  <si>
    <t>Table A-8. Pedestrian Facility Improvements</t>
  </si>
  <si>
    <t xml:space="preserve">Taxi Pickup/Dropoff </t>
  </si>
  <si>
    <t>Waiting Room</t>
  </si>
  <si>
    <t>Recommended Value</t>
  </si>
  <si>
    <t>Expanded Sidewalk (per ft added width)</t>
  </si>
  <si>
    <t>Table A-11. Transit Vehicle Amenity Values</t>
  </si>
  <si>
    <t>Reducing Upslope by 1%</t>
  </si>
  <si>
    <r>
      <t xml:space="preserve">Reducing Traffic Speed by 1mph (speeds </t>
    </r>
    <r>
      <rPr>
        <sz val="10"/>
        <color theme="1"/>
        <rFont val="Calibri"/>
        <family val="2"/>
      </rPr>
      <t>≤</t>
    </r>
    <r>
      <rPr>
        <sz val="10"/>
        <color theme="1"/>
        <rFont val="ArialMT"/>
      </rPr>
      <t xml:space="preserve"> 45 mph)</t>
    </r>
  </si>
  <si>
    <t>Attribute Type</t>
  </si>
  <si>
    <t>Bus</t>
  </si>
  <si>
    <t>Light Rail/Streetcar</t>
  </si>
  <si>
    <t>Rail</t>
  </si>
  <si>
    <t>Reducing Traffic Volume by 1 vph (for ADT ≤ 55,000)</t>
  </si>
  <si>
    <t>Marked-Crosswalks on Roadway, Volume &gt;10k/day</t>
  </si>
  <si>
    <t xml:space="preserve">Handrails </t>
  </si>
  <si>
    <t>Signal and Pedestrian Crossing on Roadway, Volume &gt;13k/day</t>
  </si>
  <si>
    <t xml:space="preserve">Luggage Storage </t>
  </si>
  <si>
    <t>Table A-9. Cycling Facility Improvements</t>
  </si>
  <si>
    <t xml:space="preserve">Temperature Control </t>
  </si>
  <si>
    <t>Recommended Value per Cycling Mile (2020 $)</t>
  </si>
  <si>
    <t xml:space="preserve">Wheelchair Space </t>
  </si>
  <si>
    <t xml:space="preserve">Food Service Availability </t>
  </si>
  <si>
    <t>Cycling Path with no at-Grade Crossings</t>
  </si>
  <si>
    <t>Restroom Availability</t>
  </si>
  <si>
    <t>Cycling Boulevard/Sharrow</t>
  </si>
  <si>
    <t>Table A-12. Transit Mode Ride and Boarding Quality Revealed Preference Values</t>
  </si>
  <si>
    <t>Separated Cycle Track</t>
  </si>
  <si>
    <t>Transit Mode</t>
  </si>
  <si>
    <t>Boarding Quality*</t>
  </si>
  <si>
    <t>Vehicle Ride Quality**</t>
  </si>
  <si>
    <t>Table A-13. Mortality Reduction Benefits of Induced Active Transportation</t>
  </si>
  <si>
    <t>Low-Intensive BRT</t>
  </si>
  <si>
    <t>Mode and Age Range</t>
  </si>
  <si>
    <t>Medium-Intensive BRT</t>
  </si>
  <si>
    <t>Walking, Ages 20-74</t>
  </si>
  <si>
    <t>High-Intensive BRT</t>
  </si>
  <si>
    <t>Cycling, Ages 20-64</t>
  </si>
  <si>
    <t>Streetcar or On-street Light Rail Transit</t>
  </si>
  <si>
    <t>Off-street Light Rail Transit</t>
  </si>
  <si>
    <t>Heavy Rail</t>
  </si>
  <si>
    <t>Commuter Rail</t>
  </si>
  <si>
    <t>Ferry</t>
  </si>
  <si>
    <t>*Benefit per Boarding</t>
  </si>
  <si>
    <t>**Benefit per passenger hour</t>
  </si>
  <si>
    <t>Table A-14. External Highway Use Costs Noise and Congestion</t>
  </si>
  <si>
    <t>Location</t>
  </si>
  <si>
    <t>Congestion (2021 $)</t>
  </si>
  <si>
    <t>Noise (2021 $)</t>
  </si>
  <si>
    <t>Safety Cost  (2021 $)</t>
  </si>
  <si>
    <t>Light Duty</t>
  </si>
  <si>
    <t>Urban</t>
  </si>
  <si>
    <t>Rural</t>
  </si>
  <si>
    <t>All</t>
  </si>
  <si>
    <t>Buses and Trucks</t>
  </si>
  <si>
    <t>All Vehicles</t>
  </si>
  <si>
    <t>Appendix B. Project Information</t>
  </si>
  <si>
    <t xml:space="preserve">This tab lists key input values for this benefit-cost analysis including the correct project name, due date of submission, design and construction schedules, and more. </t>
  </si>
  <si>
    <t>Table B1. Basic Project Information</t>
  </si>
  <si>
    <t>Table B2. Project Scheduling Information</t>
  </si>
  <si>
    <t>Input</t>
  </si>
  <si>
    <t>Project Name</t>
  </si>
  <si>
    <t>First Year of Design</t>
  </si>
  <si>
    <t>Date of Submission</t>
  </si>
  <si>
    <t>Last Year of Design</t>
  </si>
  <si>
    <t>First Year of Analysis</t>
  </si>
  <si>
    <t>First Year of Construction</t>
  </si>
  <si>
    <t>Last Year of Analysis</t>
  </si>
  <si>
    <t>Last Year of Construction</t>
  </si>
  <si>
    <t>Table B3. Master List of Years</t>
  </si>
  <si>
    <t>Year Number</t>
  </si>
  <si>
    <r>
      <t xml:space="preserve">This project will generate considerable safety, emissions, and time travel savings, which more than offset the cost of construction, work zone impacts, and long-term maintenance costs. The project's costs and benefits are summarized here, and reported in more detail in the "Project B&amp;C Backup by Year" tab, which aggregates the annual benefits and costs from each area of this Benefit-Cost Analysis. 
This project has a </t>
    </r>
    <r>
      <rPr>
        <b/>
        <sz val="10"/>
        <rFont val="ArialMT"/>
      </rPr>
      <t xml:space="preserve">favorable benefit-cost ratio of 1.17, and a net present value (NPV) of </t>
    </r>
    <r>
      <rPr>
        <b/>
        <u/>
        <sz val="10"/>
        <rFont val="ArialMT"/>
      </rPr>
      <t>$14.05 million,</t>
    </r>
    <r>
      <rPr>
        <b/>
        <sz val="10"/>
        <rFont val="ArialMT"/>
      </rPr>
      <t xml:space="preserve"> </t>
    </r>
    <r>
      <rPr>
        <sz val="10"/>
        <rFont val="ArialMT"/>
      </rPr>
      <t xml:space="preserve">indicating that the </t>
    </r>
    <r>
      <rPr>
        <b/>
        <sz val="10"/>
        <rFont val="ArialMT"/>
      </rPr>
      <t>Right-Sizing Route 37 Project</t>
    </r>
    <r>
      <rPr>
        <sz val="10"/>
        <rFont val="ArialMT"/>
      </rPr>
      <t xml:space="preserve"> </t>
    </r>
    <r>
      <rPr>
        <b/>
        <sz val="10"/>
        <rFont val="ArialMT"/>
      </rPr>
      <t>is a worthwhile and cost-effective investment.</t>
    </r>
    <r>
      <rPr>
        <sz val="10"/>
        <rFont val="ArialMT"/>
      </rPr>
      <t xml:space="preserve"> 
</t>
    </r>
    <r>
      <rPr>
        <b/>
        <sz val="10"/>
        <rFont val="ArialMT"/>
      </rPr>
      <t xml:space="preserve">Table ES-1.1 </t>
    </r>
    <r>
      <rPr>
        <sz val="10"/>
        <rFont val="ArialMT"/>
      </rPr>
      <t xml:space="preserve">summarizes the project's costs and benefits.
</t>
    </r>
    <r>
      <rPr>
        <b/>
        <sz val="10"/>
        <rFont val="ArialMT"/>
      </rPr>
      <t xml:space="preserve">Table ES-1.2 </t>
    </r>
    <r>
      <rPr>
        <sz val="10"/>
        <rFont val="ArialMT"/>
      </rPr>
      <t xml:space="preserve">shows the calculation of the project's benefits by year, discounted at both the primary (7%) and alternative (3%) discount rates.
</t>
    </r>
    <r>
      <rPr>
        <b/>
        <sz val="10"/>
        <rFont val="ArialMT"/>
      </rPr>
      <t xml:space="preserve">Table ES-1.3 </t>
    </r>
    <r>
      <rPr>
        <sz val="10"/>
        <rFont val="ArialMT"/>
      </rPr>
      <t xml:space="preserve">summarizes the project's costs by year, discounted at both the primary (7%) and alternative (3%) discount rates. </t>
    </r>
  </si>
  <si>
    <t>Right-Sizing Route 37: Improving Community Connectivity</t>
  </si>
  <si>
    <t>With the reconfiguration of the Route 37/Post Road interchange, over 9 acres of land will be made available for development. Because an official land use assessment has not been performed at this time, this analysis is based on the fair market value on recent sold commercial properties along Post Road and Airport Road in Warwick, Rhode Island. Both Post Road and Airport Road have similar traffic volumes and adjacent land uses to that of the subject parcel.  A comparison of nearby properties assessed land values (Table 5-1) suggests an average valuation of $1.7M per acre. To be conservative, the lower $1.0M per acre valuation was used. This assessment also reduced the available land from 9 acres to 3 acres to account for potential zoning and environmental regulations that may limit the amount of development on the subject parcel.</t>
  </si>
  <si>
    <t>Table 5-1. Nearby Property Comparison</t>
  </si>
  <si>
    <t>Minor sidewalk widening and signalized crossing installation are proposed as part of this project. Observationally, 10-15 pedestrians traverse Post Road and New London Avenue each during a typical evening peak period. If this is assumed to represent 10% of daily pedestrians (typical automobile K-factor in Rhode Island) then that equates to 100 pedestrians daily on each corridor.
Results of this estimation are summarized below in Table 6-1. 
The assumptions, methodology, a description of the baseline scenario, source of data, and key input parameters are documented in Tab 2B.</t>
  </si>
  <si>
    <t>The baseline assumption is that RIDOT will complete the project as described in the attached RAISE Application Narrative components.</t>
  </si>
  <si>
    <t>Based on historic deterioration, proposed improvement, and future projections.Detailed backup information is included in the attached Bridge Maintenance Plan and Corridor Maintenance Plan attached to the BCA Narrative submission.</t>
  </si>
  <si>
    <t>Contractor</t>
  </si>
  <si>
    <t>Design </t>
  </si>
  <si>
    <t>Preliminary Engineering </t>
  </si>
  <si>
    <t>Design, Year 1 </t>
  </si>
  <si>
    <t>Design, Year 2 </t>
  </si>
  <si>
    <t>Construction </t>
  </si>
  <si>
    <t>Construction, Year 1</t>
  </si>
  <si>
    <t>Construction, Year 2 </t>
  </si>
  <si>
    <t>Construction, Year 3  </t>
  </si>
  <si>
    <t>Other </t>
  </si>
  <si>
    <t>Punchlist &amp; Closeout </t>
  </si>
  <si>
    <t xml:space="preserve">RIDOT is requesting $25.0 million (25.00%) in RAISE funding to support this project. The remaining $75.00 million (75%) will be derived from federal formula program funds ($55.00 million, 55%), and state funds ($20.00 million, 20%) specifically Rhode Island Capital Plan (RICAP) funds appropriated by the state as match for federal projects. 
Apart from the requested RAISE funding, no funding for this project requires satisfying any unique conditions. If RIDOT were to receive a RAISE award that differs from the request in this application, the Department would make every effort to identify alternative sources of funding to make up the gap and ensure that award execution and obligation would proceed on the timeline outlined in this application. If this project does not receive any RAISE funding, RIDOT would reevaluate the project's funding sources in the context of the ten-year plan to determine the best path forward.
These calculations also assume that the project will begin construction in federal fiscal year (FFY) 2026.
</t>
  </si>
  <si>
    <t xml:space="preserve">Based on a conservative estimate of daily users based on existing observations extrapolated daily.  </t>
  </si>
  <si>
    <t>Assume Rhode Island K-factor of 10%, monetization rates based on the U.S. Department of Transportation's "Benefit-Cost Analysis Guidance for Discretionary Grant Programs" (January 2023).</t>
  </si>
  <si>
    <r>
      <rPr>
        <sz val="10"/>
        <rFont val="ArialMT"/>
      </rPr>
      <t xml:space="preserve">This review considers the safety impacts associated with roadway improvement proposed in conjunction with the Right-Sizing Route 37 project. 
</t>
    </r>
    <r>
      <rPr>
        <b/>
        <sz val="10"/>
        <rFont val="ArialMT"/>
      </rPr>
      <t>Safety Issue 1</t>
    </r>
    <r>
      <rPr>
        <sz val="10"/>
        <rFont val="ArialMT"/>
      </rPr>
      <t xml:space="preserve"> – Route 37 Rumble strips - Rumble strips are proposed along Route 37 on the inside and outside shoulders to prevent lane departure crashes. 
</t>
    </r>
    <r>
      <rPr>
        <b/>
        <sz val="10"/>
        <rFont val="ArialMT"/>
      </rPr>
      <t xml:space="preserve">Safety Issue 2 </t>
    </r>
    <r>
      <rPr>
        <sz val="10"/>
        <rFont val="ArialMT"/>
      </rPr>
      <t xml:space="preserve">- High-Friction Surface Treatment– Seventeen ramps along Route 37 spread over 3 interchanges will have high-friction surface treatment (HFST) implemented. The HFST will improve friction and reduce the likelihood of roadway departure crashes along the ramps.
</t>
    </r>
    <r>
      <rPr>
        <b/>
        <sz val="10"/>
        <rFont val="ArialMT"/>
      </rPr>
      <t>Safety Issue 3</t>
    </r>
    <r>
      <rPr>
        <sz val="10"/>
        <rFont val="ArialMT"/>
      </rPr>
      <t xml:space="preserve"> – Route 37 at Post Road Interchange Improvements – The Route 37 at Post Road interchange will be reconstructed as an at-grade intersection. The trumpet interchange will be replaced with at-grade intersections connecting Route 37 and Post Road. These improvements will result in the “right-sizing” of the intersection, including removal of one structure and two ramps. Safety improvements include advanced warning systems to alert vehicles that the freeway is terminating, the use of adaptive signal controls, and retroreflective signal backplates to increase visibility of the traffic signals. Although not quantified below for a safety benefit, Wrong Way Detection Systems will be installed at this interchange to mitigate wrong-way maneuvers onto Route 37 from Post Road. 
The is analysis used the Highway Safety Manual method for selecting crash countermeasures by applying estimating crash reductions to historic crashes. Crash data was collected from the RIDOT Crash Database for the study area between January 1, 2015 and December 31, 2021. The analysis assumes that crashes experienced over the 7-year period are consistent throughout the 30-year planning horizon. This analysis used the Highway Safety Manual method for selecting crash countermeasures and applying available crash reductions to historic crashes. Additionally predictive modeling approach was used to estimate the impacts of Safety Issue 3, which is explained in the Appendix to this RAISE grant submission. 
From the U.S. Department of Transportation's "Benefit-Cost Analysis Guidance for Discretionary Grant Programs," (January 2023) the monetized values for injuries by severity were obtained to determine a monetary benefit.  
After considering both safety challenges and opportunities, the net benefit is a crash savings of approximately 38 crashes per year with a total estimated annual safety benefit attributable to this project is expected to average</t>
    </r>
    <r>
      <rPr>
        <b/>
        <sz val="10"/>
        <rFont val="ArialMT"/>
      </rPr>
      <t xml:space="preserve"> $5,292,587 per year.
The assumptions, methodology, a description of the baseline scenario, source of data, and key input parameters are documented in Tab 1B.
A full review of the Safety analysis is attached to this BCA narrative with detailed methodology, assumptions, inputs, and outcomes. </t>
    </r>
  </si>
  <si>
    <r>
      <rPr>
        <sz val="10"/>
        <rFont val="ArialMT"/>
      </rPr>
      <t xml:space="preserve">This project will benefit local air quality by improving transportation operations and reducing vehicle delay in the corridor. Improvements in air quality will benefit the area by reducing local pollutant concentrations and regional emissions reductions. 
An air quality study of the Project was conducted using traffic data developed with VISSIM to calculate Travel Time Savings. Emission factors for the study area were developed using the Motor Vehicle Emission Simulator model (MOVES3) developed by the US Environmental Protection Agency (EPA).  Emissions were analyzed for the first year of operations (2028) and design year (2053) for Baseline and Proposed Action alternatives. 
The Preferred Alternative will result in emission costs savings for all years of analysis. Reduced congestion across the network reduces the emissions sufficiently to counteract the expected increase in VMT resulting in an emissions benefit. This project will reduce emissions by a projected </t>
    </r>
    <r>
      <rPr>
        <b/>
        <sz val="10"/>
        <rFont val="ArialMT"/>
      </rPr>
      <t>361</t>
    </r>
    <r>
      <rPr>
        <sz val="10"/>
        <rFont val="ArialMT"/>
      </rPr>
      <t xml:space="preserve"> tons per year, a net savings of </t>
    </r>
    <r>
      <rPr>
        <b/>
        <sz val="10"/>
        <rFont val="ArialMT"/>
      </rPr>
      <t>$1,116,388</t>
    </r>
    <r>
      <rPr>
        <sz val="10"/>
        <rFont val="ArialMT"/>
      </rPr>
      <t xml:space="preserve"> over 30 years.</t>
    </r>
    <r>
      <rPr>
        <b/>
        <sz val="10"/>
        <rFont val="ArialMT"/>
      </rPr>
      <t xml:space="preserve">
The assumptions, methodology, a description of the baseline scenario, source of data, and key input parameters are documented in Tab 2B.
A full review of the Emissions analysis is attached to this BCA narrative with detailed methodology, assumptions, inputs, and outcomes. </t>
    </r>
  </si>
  <si>
    <r>
      <rPr>
        <sz val="10"/>
        <rFont val="ArialMT"/>
      </rPr>
      <t xml:space="preserve">This project will reduce travel times by 121 hours daily by improving traffic management on Route 37 at Post Road. Signal enhancements will improve traffic movements through the area, reducing delay times, congestion, and greenhouse gas emissions.
This project will generate an estimated $1.5 million in travel time savings benefits annually and, over 30 years, travel time savings total $45.9 million.
</t>
    </r>
    <r>
      <rPr>
        <b/>
        <sz val="10"/>
        <rFont val="ArialMT"/>
      </rPr>
      <t xml:space="preserve">
Assumptions, methodology, a description of the baseline scenario, source of data, and key input parameters are documented in Tabs 3B, 3C, and 3D.
A full review of the travel time analysis is attached to this BCA narrative with detailed methodology, assumptions, inputs, and outcomes.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</si>
</sst>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8" formatCode="&quot;$&quot;#,##0.00_);[Red]\(&quot;$&quot;#,##0.00\)"/>
    <numFmt numFmtId="44" formatCode="_(&quot;$&quot;* #,##0.00_);_(&quot;$&quot;* \(#,##0.00\);_(&quot;$&quot;* &quot;-&quot;??_);_(@_)"/>
    <numFmt numFmtId="43" formatCode="_(* #,##0.00_);_(* \(#,##0.00\);_(* &quot;-&quot;??_);_(@_)"/>
    <numFmt numFmtId="164" formatCode="_(* #,##0_);_(* \(#,##0\);_(* &quot;-&quot;??_);_(@_)"/>
    <numFmt numFmtId="165" formatCode="&quot;$&quot;#,##0"/>
    <numFmt numFmtId="166" formatCode="0.0%"/>
    <numFmt numFmtId="167" formatCode="_(&quot;$&quot;* #,##0_);_(&quot;$&quot;* \(#,##0\);_(&quot;$&quot;* &quot;-&quot;??_);_(@_)"/>
    <numFmt numFmtId="168" formatCode="[$-409]h:mm\ AM/PM;@"/>
    <numFmt numFmtId="169" formatCode="0.0000"/>
    <numFmt numFmtId="170" formatCode="[$-409]mmmm\ d\,\ yyyy;@"/>
    <numFmt numFmtId="171" formatCode="_(&quot;$&quot;* #,##0.0000_);_(&quot;$&quot;* \(#,##0.0000\);_(&quot;$&quot;* &quot;-&quot;??_);_(@_)"/>
    <numFmt numFmtId="172" formatCode="_(* #,##0.0000_);_(* \(#,##0.0000\);_(* &quot;-&quot;??_);_(@_)"/>
    <numFmt numFmtId="173" formatCode="0.000"/>
    <numFmt numFmtId="174" formatCode="#,##0.000"/>
    <numFmt numFmtId="175" formatCode="_(* #,##0.000_);_(* \(#,##0.000\);_(* &quot;-&quot;??_);_(@_)"/>
    <numFmt numFmtId="176" formatCode="&quot;$&quot;#,##0.00"/>
  </numFmts>
  <fonts count="43">
    <font>
      <sz val="10"/>
      <color theme="1"/>
      <name val="Arial"/>
      <family val="2"/>
    </font>
    <font>
      <sz val="11"/>
      <color theme="1"/>
      <name val="Calibri"/>
      <family val="2"/>
      <scheme val="minor"/>
    </font>
    <font>
      <sz val="11"/>
      <color theme="1"/>
      <name val="Calibri"/>
      <family val="2"/>
      <scheme val="minor"/>
    </font>
    <font>
      <sz val="10"/>
      <color theme="1"/>
      <name val="Segoe UI"/>
      <family val="2"/>
    </font>
    <font>
      <b/>
      <sz val="10"/>
      <color theme="1"/>
      <name val="Segoe UI"/>
      <family val="2"/>
    </font>
    <font>
      <sz val="10"/>
      <color rgb="FFFF0000"/>
      <name val="Segoe UI"/>
      <family val="2"/>
    </font>
    <font>
      <b/>
      <sz val="10"/>
      <color theme="0"/>
      <name val="Segoe UI"/>
      <family val="2"/>
    </font>
    <font>
      <sz val="10"/>
      <color theme="0"/>
      <name val="Segoe UI"/>
      <family val="2"/>
    </font>
    <font>
      <sz val="10"/>
      <name val="Segoe UI"/>
      <family val="2"/>
    </font>
    <font>
      <b/>
      <u/>
      <sz val="10"/>
      <color theme="1"/>
      <name val="Segoe UI"/>
      <family val="2"/>
    </font>
    <font>
      <b/>
      <sz val="10"/>
      <color theme="0"/>
      <name val="ArialMT"/>
    </font>
    <font>
      <sz val="10"/>
      <color theme="0"/>
      <name val="ArialMT"/>
    </font>
    <font>
      <sz val="10"/>
      <color theme="1"/>
      <name val="ArialMT"/>
    </font>
    <font>
      <b/>
      <sz val="10"/>
      <color theme="1"/>
      <name val="ArialMT"/>
    </font>
    <font>
      <sz val="10"/>
      <name val="ArialMT"/>
    </font>
    <font>
      <b/>
      <sz val="10"/>
      <name val="ArialMT"/>
    </font>
    <font>
      <u/>
      <sz val="10"/>
      <color theme="1"/>
      <name val="ArialMT"/>
    </font>
    <font>
      <vertAlign val="superscript"/>
      <sz val="10"/>
      <color theme="1"/>
      <name val="ArialMT"/>
    </font>
    <font>
      <sz val="10"/>
      <color rgb="FF3F3F76"/>
      <name val="ArialMT"/>
    </font>
    <font>
      <b/>
      <sz val="10"/>
      <color rgb="FFFA7D00"/>
      <name val="ArialMT"/>
    </font>
    <font>
      <i/>
      <sz val="10"/>
      <color theme="1"/>
      <name val="ArialMT"/>
    </font>
    <font>
      <b/>
      <vertAlign val="subscript"/>
      <sz val="10"/>
      <color theme="1"/>
      <name val="ArialMT"/>
    </font>
    <font>
      <vertAlign val="subscript"/>
      <sz val="10"/>
      <color theme="1"/>
      <name val="ArialMT"/>
    </font>
    <font>
      <sz val="11"/>
      <color theme="1"/>
      <name val="ArialMT"/>
    </font>
    <font>
      <b/>
      <sz val="11"/>
      <color theme="1"/>
      <name val="ArialMT"/>
    </font>
    <font>
      <sz val="8"/>
      <name val="Arial"/>
      <family val="2"/>
    </font>
    <font>
      <vertAlign val="subscript"/>
      <sz val="10"/>
      <color theme="1"/>
      <name val="Arial"/>
      <family val="2"/>
    </font>
    <font>
      <sz val="10"/>
      <color theme="4"/>
      <name val="ArialMT"/>
    </font>
    <font>
      <sz val="10"/>
      <color theme="1"/>
      <name val="Arial"/>
      <family val="2"/>
    </font>
    <font>
      <b/>
      <sz val="10"/>
      <color theme="1"/>
      <name val="Arial"/>
      <family val="2"/>
    </font>
    <font>
      <sz val="10"/>
      <color rgb="FF000000"/>
      <name val="Times New Roman"/>
      <family val="1"/>
    </font>
    <font>
      <sz val="11"/>
      <color theme="1"/>
      <name val="Calibri"/>
      <family val="2"/>
    </font>
    <font>
      <b/>
      <sz val="11"/>
      <color rgb="FF000000"/>
      <name val="Calibri"/>
      <family val="2"/>
    </font>
    <font>
      <i/>
      <sz val="8"/>
      <color theme="1"/>
      <name val="Arial"/>
      <family val="2"/>
    </font>
    <font>
      <b/>
      <sz val="10"/>
      <color rgb="FF000000"/>
      <name val="ArialMT"/>
    </font>
    <font>
      <sz val="10"/>
      <color rgb="FFFF0000"/>
      <name val="ArialMT"/>
    </font>
    <font>
      <sz val="10"/>
      <color rgb="FF3F3F76"/>
      <name val="Segoe UI"/>
      <family val="2"/>
    </font>
    <font>
      <i/>
      <sz val="11"/>
      <color rgb="FF7F7F7F"/>
      <name val="Calibri"/>
      <family val="2"/>
      <scheme val="minor"/>
    </font>
    <font>
      <b/>
      <sz val="11"/>
      <color theme="1"/>
      <name val="Calibri"/>
      <family val="2"/>
      <scheme val="minor"/>
    </font>
    <font>
      <sz val="11"/>
      <color theme="1"/>
      <name val="Segoe UI"/>
      <family val="2"/>
    </font>
    <font>
      <sz val="10"/>
      <color theme="1"/>
      <name val="Calibri"/>
      <family val="2"/>
    </font>
    <font>
      <b/>
      <u/>
      <sz val="10"/>
      <name val="ArialMT"/>
    </font>
    <font>
      <b/>
      <i/>
      <sz val="10"/>
      <color theme="1"/>
      <name val="ArialMT"/>
    </font>
  </fonts>
  <fills count="23">
    <fill>
      <patternFill patternType="none"/>
    </fill>
    <fill>
      <patternFill patternType="gray125"/>
    </fill>
    <fill>
      <patternFill patternType="solid">
        <fgColor theme="0" tint="-0.49998474074526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2"/>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9"/>
        <bgColor indexed="64"/>
      </patternFill>
    </fill>
    <fill>
      <patternFill patternType="solid">
        <fgColor theme="6" tint="0.79998168889431442"/>
        <bgColor indexed="64"/>
      </patternFill>
    </fill>
    <fill>
      <patternFill patternType="solid">
        <fgColor theme="5" tint="-0.249977111117893"/>
        <bgColor indexed="64"/>
      </patternFill>
    </fill>
    <fill>
      <patternFill patternType="solid">
        <fgColor rgb="FFFFCC99"/>
      </patternFill>
    </fill>
    <fill>
      <patternFill patternType="solid">
        <fgColor theme="4"/>
        <bgColor indexed="64"/>
      </patternFill>
    </fill>
    <fill>
      <patternFill patternType="solid">
        <fgColor rgb="FFF2F2F2"/>
      </patternFill>
    </fill>
    <fill>
      <patternFill patternType="solid">
        <fgColor rgb="FFFFFFCC"/>
      </patternFill>
    </fill>
    <fill>
      <patternFill patternType="solid">
        <fgColor theme="1" tint="0.499984740745262"/>
        <bgColor indexed="64"/>
      </patternFill>
    </fill>
    <fill>
      <patternFill patternType="solid">
        <fgColor rgb="FFFFFF00"/>
        <bgColor indexed="64"/>
      </patternFill>
    </fill>
    <fill>
      <patternFill patternType="solid">
        <fgColor rgb="FFFF0000"/>
        <bgColor indexed="64"/>
      </patternFill>
    </fill>
    <fill>
      <patternFill patternType="solid">
        <fgColor theme="8"/>
        <bgColor indexed="64"/>
      </patternFill>
    </fill>
    <fill>
      <patternFill patternType="solid">
        <fgColor theme="1"/>
        <bgColor indexed="64"/>
      </patternFill>
    </fill>
  </fills>
  <borders count="29">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n">
        <color auto="1"/>
      </left>
      <right/>
      <top/>
      <bottom/>
      <diagonal/>
    </border>
    <border>
      <left style="thin">
        <color auto="1"/>
      </left>
      <right/>
      <top style="thin">
        <color auto="1"/>
      </top>
      <bottom style="thin">
        <color auto="1"/>
      </bottom>
      <diagonal/>
    </border>
    <border>
      <left/>
      <right style="thin">
        <color indexed="64"/>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double">
        <color indexed="64"/>
      </bottom>
      <diagonal/>
    </border>
    <border>
      <left/>
      <right/>
      <top/>
      <bottom style="double">
        <color rgb="FFFF8001"/>
      </bottom>
      <diagonal/>
    </border>
    <border>
      <left style="thin">
        <color rgb="FF7F7F7F"/>
      </left>
      <right/>
      <top style="thin">
        <color rgb="FF7F7F7F"/>
      </top>
      <bottom style="thin">
        <color rgb="FF7F7F7F"/>
      </bottom>
      <diagonal/>
    </border>
    <border>
      <left/>
      <right/>
      <top style="thin">
        <color rgb="FF7F7F7F"/>
      </top>
      <bottom style="thin">
        <color rgb="FF7F7F7F"/>
      </bottom>
      <diagonal/>
    </border>
    <border>
      <left/>
      <right style="thin">
        <color rgb="FF7F7F7F"/>
      </right>
      <top style="thin">
        <color rgb="FF7F7F7F"/>
      </top>
      <bottom style="thin">
        <color rgb="FF7F7F7F"/>
      </bottom>
      <diagonal/>
    </border>
  </borders>
  <cellStyleXfs count="11">
    <xf numFmtId="0" fontId="0"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18" fillId="14" borderId="22" applyNumberFormat="0" applyProtection="0">
      <alignment horizontal="left" vertical="center"/>
    </xf>
    <xf numFmtId="0" fontId="19" fillId="16" borderId="22" applyNumberFormat="0" applyProtection="0">
      <alignment vertical="center"/>
    </xf>
    <xf numFmtId="0" fontId="2" fillId="17" borderId="23" applyNumberFormat="0" applyFont="0" applyAlignment="0" applyProtection="0"/>
    <xf numFmtId="0" fontId="27" fillId="8" borderId="25" applyNumberFormat="0" applyBorder="0" applyAlignment="0" applyProtection="0"/>
    <xf numFmtId="0" fontId="37" fillId="0" borderId="0" applyNumberFormat="0" applyFill="0" applyBorder="0" applyAlignment="0" applyProtection="0"/>
    <xf numFmtId="0" fontId="1" fillId="0" borderId="0"/>
    <xf numFmtId="44" fontId="1" fillId="0" borderId="0" applyFont="0" applyFill="0" applyBorder="0" applyAlignment="0" applyProtection="0"/>
  </cellStyleXfs>
  <cellXfs count="516">
    <xf numFmtId="0" fontId="0" fillId="0" borderId="0" xfId="0"/>
    <xf numFmtId="1" fontId="3" fillId="0" borderId="0" xfId="0" applyNumberFormat="1" applyFont="1"/>
    <xf numFmtId="1" fontId="3" fillId="0" borderId="17" xfId="0" applyNumberFormat="1" applyFont="1" applyBorder="1"/>
    <xf numFmtId="0" fontId="3" fillId="0" borderId="0" xfId="0" applyFont="1"/>
    <xf numFmtId="0" fontId="3" fillId="0" borderId="17" xfId="0" applyFont="1" applyBorder="1"/>
    <xf numFmtId="0" fontId="3" fillId="0" borderId="0" xfId="0" applyFont="1" applyAlignment="1">
      <alignment horizontal="right"/>
    </xf>
    <xf numFmtId="0" fontId="4" fillId="0" borderId="0" xfId="0" applyFont="1"/>
    <xf numFmtId="44" fontId="3" fillId="0" borderId="0" xfId="0" applyNumberFormat="1" applyFont="1"/>
    <xf numFmtId="170" fontId="4" fillId="0" borderId="0" xfId="0" applyNumberFormat="1" applyFont="1" applyAlignment="1">
      <alignment horizontal="left"/>
    </xf>
    <xf numFmtId="0" fontId="3" fillId="0" borderId="0" xfId="0" applyFont="1" applyAlignment="1">
      <alignment horizontal="left"/>
    </xf>
    <xf numFmtId="0" fontId="4" fillId="0" borderId="0" xfId="0" applyFont="1" applyAlignment="1">
      <alignment vertical="center"/>
    </xf>
    <xf numFmtId="43" fontId="5" fillId="0" borderId="0" xfId="2" applyFont="1"/>
    <xf numFmtId="0" fontId="5" fillId="0" borderId="0" xfId="0" applyFont="1"/>
    <xf numFmtId="0" fontId="3" fillId="0" borderId="0" xfId="0" applyFont="1" applyAlignment="1">
      <alignment vertical="center"/>
    </xf>
    <xf numFmtId="0" fontId="3" fillId="0" borderId="0" xfId="0" applyFont="1" applyAlignment="1">
      <alignment horizontal="right" vertical="center"/>
    </xf>
    <xf numFmtId="170" fontId="4" fillId="0" borderId="0" xfId="0" applyNumberFormat="1" applyFont="1" applyAlignment="1">
      <alignment horizontal="left" vertical="center"/>
    </xf>
    <xf numFmtId="8" fontId="5" fillId="0" borderId="0" xfId="0" applyNumberFormat="1" applyFont="1" applyAlignment="1">
      <alignment vertical="center"/>
    </xf>
    <xf numFmtId="166" fontId="3" fillId="0" borderId="0" xfId="3" applyNumberFormat="1" applyFont="1" applyFill="1" applyAlignment="1">
      <alignment vertical="center"/>
    </xf>
    <xf numFmtId="166" fontId="5" fillId="0" borderId="0" xfId="3" applyNumberFormat="1" applyFont="1" applyAlignment="1">
      <alignment vertical="center"/>
    </xf>
    <xf numFmtId="0" fontId="3" fillId="0" borderId="1" xfId="0" applyFont="1" applyBorder="1" applyAlignment="1">
      <alignment vertical="center"/>
    </xf>
    <xf numFmtId="0" fontId="3" fillId="0" borderId="11" xfId="0" applyFont="1" applyBorder="1" applyAlignment="1">
      <alignment vertical="center"/>
    </xf>
    <xf numFmtId="0" fontId="4" fillId="0" borderId="11" xfId="0" applyFont="1" applyBorder="1" applyAlignment="1">
      <alignment horizontal="right" vertical="center"/>
    </xf>
    <xf numFmtId="44" fontId="4" fillId="0" borderId="2" xfId="1" applyFont="1" applyFill="1" applyBorder="1" applyAlignment="1">
      <alignment vertical="center"/>
    </xf>
    <xf numFmtId="0" fontId="4" fillId="0" borderId="0" xfId="0" applyFont="1" applyAlignment="1">
      <alignment horizontal="right" vertical="center"/>
    </xf>
    <xf numFmtId="44" fontId="4" fillId="0" borderId="0" xfId="1" applyFont="1" applyFill="1" applyBorder="1" applyAlignment="1">
      <alignment vertical="center"/>
    </xf>
    <xf numFmtId="0" fontId="5" fillId="0" borderId="0" xfId="3" applyNumberFormat="1" applyFont="1" applyFill="1" applyAlignment="1">
      <alignment vertical="center"/>
    </xf>
    <xf numFmtId="8" fontId="5" fillId="0" borderId="0" xfId="3" applyNumberFormat="1" applyFont="1" applyAlignment="1">
      <alignment vertical="center"/>
    </xf>
    <xf numFmtId="0" fontId="3" fillId="5" borderId="1" xfId="0" applyFont="1" applyFill="1" applyBorder="1" applyAlignment="1">
      <alignment vertical="center"/>
    </xf>
    <xf numFmtId="0" fontId="3" fillId="5" borderId="11" xfId="0" applyFont="1" applyFill="1" applyBorder="1" applyAlignment="1">
      <alignment vertical="center"/>
    </xf>
    <xf numFmtId="0" fontId="4" fillId="5" borderId="11" xfId="0" applyFont="1" applyFill="1" applyBorder="1" applyAlignment="1">
      <alignment horizontal="right" vertical="center"/>
    </xf>
    <xf numFmtId="44" fontId="4" fillId="5" borderId="2" xfId="1" applyFont="1" applyFill="1" applyBorder="1" applyAlignment="1">
      <alignment vertical="center"/>
    </xf>
    <xf numFmtId="8" fontId="3" fillId="0" borderId="0" xfId="0" applyNumberFormat="1" applyFont="1"/>
    <xf numFmtId="0" fontId="4" fillId="0" borderId="0" xfId="0" applyFont="1" applyAlignment="1">
      <alignment horizontal="center" vertical="center" wrapText="1"/>
    </xf>
    <xf numFmtId="0" fontId="4" fillId="0" borderId="17" xfId="0" applyFont="1" applyBorder="1" applyAlignment="1">
      <alignment horizontal="center" vertical="center" wrapText="1"/>
    </xf>
    <xf numFmtId="0" fontId="4" fillId="3" borderId="17" xfId="0" applyFont="1" applyFill="1" applyBorder="1" applyAlignment="1">
      <alignment horizontal="center" vertical="center" wrapText="1"/>
    </xf>
    <xf numFmtId="0" fontId="4" fillId="10" borderId="17" xfId="0" applyFont="1" applyFill="1" applyBorder="1" applyAlignment="1">
      <alignment horizontal="center" vertical="center" wrapText="1"/>
    </xf>
    <xf numFmtId="0" fontId="4" fillId="8" borderId="17" xfId="0" applyFont="1" applyFill="1" applyBorder="1" applyAlignment="1">
      <alignment horizontal="center" vertical="center" wrapText="1"/>
    </xf>
    <xf numFmtId="0" fontId="3" fillId="0" borderId="0" xfId="0" applyFont="1" applyAlignment="1">
      <alignment horizontal="center" vertical="center" wrapText="1"/>
    </xf>
    <xf numFmtId="0" fontId="4" fillId="0" borderId="0" xfId="0" applyFont="1" applyAlignment="1">
      <alignment horizontal="center"/>
    </xf>
    <xf numFmtId="8" fontId="3" fillId="3" borderId="0" xfId="0" applyNumberFormat="1" applyFont="1" applyFill="1"/>
    <xf numFmtId="8" fontId="3" fillId="10" borderId="0" xfId="0" applyNumberFormat="1" applyFont="1" applyFill="1"/>
    <xf numFmtId="8" fontId="3" fillId="8" borderId="0" xfId="0" applyNumberFormat="1" applyFont="1" applyFill="1"/>
    <xf numFmtId="8" fontId="3" fillId="0" borderId="17" xfId="0" applyNumberFormat="1" applyFont="1" applyBorder="1"/>
    <xf numFmtId="8" fontId="3" fillId="3" borderId="17" xfId="0" applyNumberFormat="1" applyFont="1" applyFill="1" applyBorder="1"/>
    <xf numFmtId="8" fontId="4" fillId="0" borderId="0" xfId="0" applyNumberFormat="1" applyFont="1"/>
    <xf numFmtId="38" fontId="4" fillId="0" borderId="0" xfId="0" applyNumberFormat="1" applyFont="1"/>
    <xf numFmtId="8" fontId="4" fillId="3" borderId="0" xfId="0" applyNumberFormat="1" applyFont="1" applyFill="1"/>
    <xf numFmtId="0" fontId="4" fillId="0" borderId="0" xfId="0" applyFont="1" applyAlignment="1">
      <alignment horizontal="right"/>
    </xf>
    <xf numFmtId="44" fontId="4" fillId="0" borderId="0" xfId="0" applyNumberFormat="1" applyFont="1"/>
    <xf numFmtId="39" fontId="3" fillId="0" borderId="0" xfId="0" applyNumberFormat="1" applyFont="1"/>
    <xf numFmtId="0" fontId="4" fillId="6" borderId="8" xfId="0" applyFont="1" applyFill="1" applyBorder="1" applyAlignment="1">
      <alignment horizontal="center" vertical="center"/>
    </xf>
    <xf numFmtId="0" fontId="4" fillId="6" borderId="8" xfId="0" applyFont="1" applyFill="1" applyBorder="1" applyAlignment="1">
      <alignment horizontal="center" vertical="center" wrapText="1"/>
    </xf>
    <xf numFmtId="0" fontId="4" fillId="3" borderId="1" xfId="0" applyFont="1" applyFill="1" applyBorder="1" applyAlignment="1">
      <alignment horizontal="right" vertical="center" wrapText="1"/>
    </xf>
    <xf numFmtId="44" fontId="4" fillId="3" borderId="2" xfId="0" applyNumberFormat="1" applyFont="1" applyFill="1" applyBorder="1" applyAlignment="1">
      <alignment vertical="center"/>
    </xf>
    <xf numFmtId="9" fontId="3" fillId="0" borderId="0" xfId="0" applyNumberFormat="1" applyFont="1" applyAlignment="1">
      <alignment horizontal="right"/>
    </xf>
    <xf numFmtId="9" fontId="3" fillId="0" borderId="0" xfId="0" applyNumberFormat="1" applyFont="1" applyAlignment="1">
      <alignment horizontal="center" vertical="center"/>
    </xf>
    <xf numFmtId="43" fontId="5" fillId="0" borderId="0" xfId="2" applyFont="1" applyFill="1" applyAlignment="1">
      <alignment vertical="center"/>
    </xf>
    <xf numFmtId="0" fontId="4" fillId="0" borderId="17" xfId="0" applyFont="1" applyBorder="1" applyAlignment="1">
      <alignment horizontal="center"/>
    </xf>
    <xf numFmtId="44" fontId="0" fillId="0" borderId="0" xfId="1" applyFont="1" applyAlignment="1">
      <alignment wrapText="1"/>
    </xf>
    <xf numFmtId="2" fontId="0" fillId="0" borderId="0" xfId="0" applyNumberFormat="1" applyAlignment="1">
      <alignment wrapText="1"/>
    </xf>
    <xf numFmtId="0" fontId="11" fillId="0" borderId="0" xfId="0" applyFont="1"/>
    <xf numFmtId="0" fontId="12" fillId="0" borderId="0" xfId="0" applyFont="1"/>
    <xf numFmtId="0" fontId="12" fillId="0" borderId="0" xfId="0" applyFont="1" applyAlignment="1">
      <alignment horizontal="right"/>
    </xf>
    <xf numFmtId="0" fontId="13" fillId="0" borderId="0" xfId="0" applyFont="1"/>
    <xf numFmtId="170" fontId="13" fillId="0" borderId="0" xfId="0" applyNumberFormat="1" applyFont="1" applyAlignment="1">
      <alignment horizontal="left" wrapText="1"/>
    </xf>
    <xf numFmtId="15" fontId="12" fillId="0" borderId="0" xfId="0" applyNumberFormat="1" applyFont="1" applyAlignment="1">
      <alignment wrapText="1"/>
    </xf>
    <xf numFmtId="0" fontId="14" fillId="0" borderId="0" xfId="0" applyFont="1" applyAlignment="1">
      <alignment vertical="center" wrapText="1"/>
    </xf>
    <xf numFmtId="0" fontId="12" fillId="0" borderId="0" xfId="0" applyFont="1" applyAlignment="1">
      <alignment wrapText="1"/>
    </xf>
    <xf numFmtId="44" fontId="12" fillId="0" borderId="0" xfId="0" applyNumberFormat="1" applyFont="1"/>
    <xf numFmtId="0" fontId="13" fillId="0" borderId="0" xfId="0" applyFont="1" applyAlignment="1">
      <alignment horizontal="right" wrapText="1"/>
    </xf>
    <xf numFmtId="167" fontId="12" fillId="0" borderId="0" xfId="0" applyNumberFormat="1" applyFont="1"/>
    <xf numFmtId="0" fontId="13" fillId="0" borderId="0" xfId="0" applyFont="1" applyAlignment="1">
      <alignment vertical="center"/>
    </xf>
    <xf numFmtId="170" fontId="13" fillId="0" borderId="0" xfId="0" applyNumberFormat="1" applyFont="1" applyAlignment="1">
      <alignment horizontal="left"/>
    </xf>
    <xf numFmtId="0" fontId="13" fillId="0" borderId="8" xfId="0" applyFont="1" applyBorder="1"/>
    <xf numFmtId="0" fontId="12" fillId="0" borderId="8" xfId="0" applyFont="1" applyBorder="1"/>
    <xf numFmtId="8" fontId="14" fillId="0" borderId="0" xfId="3" applyNumberFormat="1" applyFont="1" applyFill="1" applyBorder="1"/>
    <xf numFmtId="0" fontId="12" fillId="0" borderId="0" xfId="0" applyFont="1" applyAlignment="1">
      <alignment horizontal="left"/>
    </xf>
    <xf numFmtId="0" fontId="12" fillId="0" borderId="0" xfId="0" applyFont="1" applyAlignment="1">
      <alignment horizontal="center"/>
    </xf>
    <xf numFmtId="44" fontId="12" fillId="0" borderId="0" xfId="1" applyFont="1" applyAlignment="1">
      <alignment horizontal="left"/>
    </xf>
    <xf numFmtId="15" fontId="12" fillId="0" borderId="0" xfId="0" applyNumberFormat="1" applyFont="1"/>
    <xf numFmtId="44" fontId="12" fillId="0" borderId="0" xfId="1" applyFont="1" applyFill="1" applyBorder="1" applyAlignment="1">
      <alignment horizontal="left" vertical="center" wrapText="1"/>
    </xf>
    <xf numFmtId="0" fontId="12" fillId="0" borderId="0" xfId="0" applyFont="1" applyAlignment="1">
      <alignment vertical="center" wrapText="1"/>
    </xf>
    <xf numFmtId="0" fontId="12" fillId="0" borderId="0" xfId="0" applyFont="1" applyAlignment="1">
      <alignment vertical="center"/>
    </xf>
    <xf numFmtId="44" fontId="12" fillId="0" borderId="0" xfId="1" applyFont="1" applyFill="1" applyBorder="1" applyAlignment="1">
      <alignment horizontal="left" wrapText="1"/>
    </xf>
    <xf numFmtId="0" fontId="12" fillId="0" borderId="0" xfId="0" applyFont="1" applyAlignment="1">
      <alignment horizontal="center" wrapText="1"/>
    </xf>
    <xf numFmtId="8" fontId="12" fillId="0" borderId="0" xfId="0" applyNumberFormat="1" applyFont="1"/>
    <xf numFmtId="44" fontId="12" fillId="0" borderId="0" xfId="1" applyFont="1" applyFill="1" applyAlignment="1">
      <alignment horizontal="left"/>
    </xf>
    <xf numFmtId="0" fontId="12" fillId="0" borderId="0" xfId="0" applyFont="1" applyAlignment="1">
      <alignment horizontal="right" vertical="center"/>
    </xf>
    <xf numFmtId="170" fontId="13" fillId="0" borderId="0" xfId="0" applyNumberFormat="1" applyFont="1" applyAlignment="1">
      <alignment horizontal="left" vertical="center"/>
    </xf>
    <xf numFmtId="0" fontId="13" fillId="0" borderId="0" xfId="0" applyFont="1" applyAlignment="1">
      <alignment horizontal="center" vertical="center" wrapText="1"/>
    </xf>
    <xf numFmtId="0" fontId="13" fillId="0" borderId="0" xfId="0" applyFont="1" applyAlignment="1">
      <alignment vertical="center" wrapText="1"/>
    </xf>
    <xf numFmtId="0" fontId="13" fillId="0" borderId="0" xfId="0" applyFont="1" applyAlignment="1">
      <alignment horizontal="right" vertical="center" wrapText="1"/>
    </xf>
    <xf numFmtId="1" fontId="13" fillId="0" borderId="0" xfId="0" applyNumberFormat="1" applyFont="1" applyAlignment="1">
      <alignment vertical="center"/>
    </xf>
    <xf numFmtId="10" fontId="12" fillId="0" borderId="0" xfId="0" applyNumberFormat="1" applyFont="1"/>
    <xf numFmtId="44" fontId="12" fillId="0" borderId="0" xfId="1" applyFont="1"/>
    <xf numFmtId="44" fontId="12" fillId="0" borderId="17" xfId="0" applyNumberFormat="1" applyFont="1" applyBorder="1"/>
    <xf numFmtId="165" fontId="13" fillId="0" borderId="0" xfId="1" applyNumberFormat="1" applyFont="1" applyFill="1" applyBorder="1" applyAlignment="1">
      <alignment horizontal="center" vertical="center"/>
    </xf>
    <xf numFmtId="0" fontId="13" fillId="0" borderId="0" xfId="0" applyFont="1" applyAlignment="1">
      <alignment horizontal="center" vertical="center"/>
    </xf>
    <xf numFmtId="0" fontId="12" fillId="0" borderId="9" xfId="0" applyFont="1" applyBorder="1" applyAlignment="1">
      <alignment horizontal="center"/>
    </xf>
    <xf numFmtId="0" fontId="12" fillId="0" borderId="0" xfId="0" applyFont="1" applyAlignment="1">
      <alignment horizontal="right" vertical="center" wrapText="1"/>
    </xf>
    <xf numFmtId="170" fontId="13" fillId="0" borderId="0" xfId="0" applyNumberFormat="1" applyFont="1" applyAlignment="1">
      <alignment horizontal="left" vertical="center" wrapText="1"/>
    </xf>
    <xf numFmtId="15" fontId="12" fillId="0" borderId="0" xfId="0" applyNumberFormat="1" applyFont="1" applyAlignment="1">
      <alignment vertical="center" wrapText="1"/>
    </xf>
    <xf numFmtId="0" fontId="15" fillId="0" borderId="10" xfId="0" applyFont="1" applyBorder="1" applyAlignment="1">
      <alignment vertical="center" wrapText="1"/>
    </xf>
    <xf numFmtId="0" fontId="15" fillId="0" borderId="0" xfId="0" applyFont="1" applyAlignment="1">
      <alignment vertical="center" wrapText="1"/>
    </xf>
    <xf numFmtId="0" fontId="14" fillId="0" borderId="0" xfId="0" applyFont="1" applyAlignment="1">
      <alignment horizontal="left" vertical="center" wrapText="1"/>
    </xf>
    <xf numFmtId="44" fontId="13" fillId="0" borderId="0" xfId="0" applyNumberFormat="1" applyFont="1" applyAlignment="1">
      <alignment vertical="center" wrapText="1"/>
    </xf>
    <xf numFmtId="0" fontId="23" fillId="0" borderId="0" xfId="0" applyFont="1"/>
    <xf numFmtId="15" fontId="12" fillId="0" borderId="0" xfId="0" applyNumberFormat="1" applyFont="1" applyAlignment="1">
      <alignment vertical="center"/>
    </xf>
    <xf numFmtId="0" fontId="23" fillId="0" borderId="17" xfId="0" applyFont="1" applyBorder="1"/>
    <xf numFmtId="0" fontId="23" fillId="0" borderId="0" xfId="0" applyFont="1" applyAlignment="1">
      <alignment horizontal="center" vertical="center" wrapText="1"/>
    </xf>
    <xf numFmtId="0" fontId="12" fillId="0" borderId="17" xfId="0" applyFont="1" applyBorder="1" applyAlignment="1">
      <alignment vertical="center" wrapText="1"/>
    </xf>
    <xf numFmtId="10" fontId="12" fillId="0" borderId="17" xfId="0" applyNumberFormat="1" applyFont="1" applyBorder="1"/>
    <xf numFmtId="0" fontId="12" fillId="0" borderId="0" xfId="0" applyFont="1" applyAlignment="1">
      <alignment horizontal="center" vertical="center"/>
    </xf>
    <xf numFmtId="0" fontId="12" fillId="0" borderId="17" xfId="0" applyFont="1" applyBorder="1" applyAlignment="1">
      <alignment horizontal="center" vertical="center"/>
    </xf>
    <xf numFmtId="0" fontId="24" fillId="0" borderId="0" xfId="0" applyFont="1"/>
    <xf numFmtId="44" fontId="12" fillId="0" borderId="0" xfId="1" applyFont="1" applyBorder="1"/>
    <xf numFmtId="2" fontId="12" fillId="0" borderId="0" xfId="0" applyNumberFormat="1" applyFont="1"/>
    <xf numFmtId="171" fontId="12" fillId="0" borderId="0" xfId="1" applyNumberFormat="1" applyFont="1"/>
    <xf numFmtId="170" fontId="12" fillId="0" borderId="0" xfId="0" applyNumberFormat="1" applyFont="1"/>
    <xf numFmtId="0" fontId="18" fillId="0" borderId="0" xfId="4" applyFill="1" applyBorder="1" applyAlignment="1">
      <alignment horizontal="left" vertical="center" wrapText="1"/>
    </xf>
    <xf numFmtId="44" fontId="13" fillId="0" borderId="0" xfId="1" applyFont="1" applyBorder="1" applyAlignment="1">
      <alignment vertical="center" wrapText="1"/>
    </xf>
    <xf numFmtId="44" fontId="12" fillId="0" borderId="9" xfId="1" applyFont="1" applyFill="1" applyBorder="1"/>
    <xf numFmtId="0" fontId="13" fillId="0" borderId="0" xfId="0" applyFont="1" applyAlignment="1">
      <alignment horizontal="left" vertical="center"/>
    </xf>
    <xf numFmtId="0" fontId="12" fillId="0" borderId="0" xfId="0" applyFont="1" applyAlignment="1">
      <alignment horizontal="center" vertical="center" wrapText="1"/>
    </xf>
    <xf numFmtId="43" fontId="12" fillId="0" borderId="0" xfId="2" applyFont="1" applyAlignment="1">
      <alignment horizontal="center" vertical="center" wrapText="1"/>
    </xf>
    <xf numFmtId="44" fontId="12" fillId="0" borderId="0" xfId="1" applyFont="1" applyAlignment="1">
      <alignment horizontal="center" vertical="center" wrapText="1"/>
    </xf>
    <xf numFmtId="43" fontId="13" fillId="0" borderId="0" xfId="0" applyNumberFormat="1" applyFont="1" applyAlignment="1">
      <alignment vertical="center" wrapText="1"/>
    </xf>
    <xf numFmtId="44" fontId="12" fillId="0" borderId="0" xfId="0" applyNumberFormat="1" applyFont="1" applyAlignment="1">
      <alignment vertical="center" wrapText="1"/>
    </xf>
    <xf numFmtId="0" fontId="12" fillId="0" borderId="0" xfId="0" applyFont="1" applyAlignment="1">
      <alignment horizontal="left" vertical="center" wrapText="1"/>
    </xf>
    <xf numFmtId="0" fontId="12" fillId="9" borderId="0" xfId="0" applyFont="1" applyFill="1" applyAlignment="1">
      <alignment horizontal="center" vertical="center" wrapText="1"/>
    </xf>
    <xf numFmtId="44" fontId="13" fillId="9" borderId="0" xfId="1" applyFont="1" applyFill="1" applyBorder="1" applyAlignment="1">
      <alignment vertical="center" wrapText="1"/>
    </xf>
    <xf numFmtId="0" fontId="13" fillId="0" borderId="0" xfId="0" applyFont="1" applyAlignment="1">
      <alignment wrapText="1"/>
    </xf>
    <xf numFmtId="0" fontId="15" fillId="0" borderId="0" xfId="0" applyFont="1" applyAlignment="1">
      <alignment wrapText="1"/>
    </xf>
    <xf numFmtId="0" fontId="11" fillId="0" borderId="0" xfId="0" applyFont="1" applyAlignment="1">
      <alignment wrapText="1"/>
    </xf>
    <xf numFmtId="0" fontId="10" fillId="0" borderId="0" xfId="0" applyFont="1" applyAlignment="1">
      <alignment horizontal="center" vertical="center" wrapText="1"/>
    </xf>
    <xf numFmtId="0" fontId="13" fillId="0" borderId="0" xfId="0" applyFont="1" applyAlignment="1">
      <alignment horizontal="center" wrapText="1"/>
    </xf>
    <xf numFmtId="44" fontId="14" fillId="0" borderId="0" xfId="0" applyNumberFormat="1" applyFont="1" applyAlignment="1">
      <alignment wrapText="1"/>
    </xf>
    <xf numFmtId="44" fontId="12" fillId="0" borderId="0" xfId="0" applyNumberFormat="1" applyFont="1" applyAlignment="1">
      <alignment wrapText="1"/>
    </xf>
    <xf numFmtId="0" fontId="14" fillId="0" borderId="0" xfId="0" applyFont="1" applyAlignment="1">
      <alignment wrapText="1"/>
    </xf>
    <xf numFmtId="0" fontId="14" fillId="0" borderId="0" xfId="0" applyFont="1" applyAlignment="1">
      <alignment horizontal="left" vertical="center"/>
    </xf>
    <xf numFmtId="0" fontId="12" fillId="0" borderId="0" xfId="0" applyFont="1" applyAlignment="1">
      <alignment horizontal="right" wrapText="1"/>
    </xf>
    <xf numFmtId="8" fontId="12" fillId="0" borderId="0" xfId="0" applyNumberFormat="1" applyFont="1" applyAlignment="1">
      <alignment wrapText="1"/>
    </xf>
    <xf numFmtId="1" fontId="12" fillId="0" borderId="0" xfId="0" applyNumberFormat="1" applyFont="1" applyAlignment="1">
      <alignment wrapText="1"/>
    </xf>
    <xf numFmtId="168" fontId="13" fillId="0" borderId="0" xfId="0" applyNumberFormat="1" applyFont="1" applyAlignment="1">
      <alignment wrapText="1"/>
    </xf>
    <xf numFmtId="1" fontId="12" fillId="0" borderId="0" xfId="0" applyNumberFormat="1" applyFont="1" applyAlignment="1">
      <alignment vertical="center" wrapText="1"/>
    </xf>
    <xf numFmtId="169" fontId="13" fillId="0" borderId="0" xfId="0" applyNumberFormat="1" applyFont="1" applyAlignment="1">
      <alignment vertical="center" wrapText="1"/>
    </xf>
    <xf numFmtId="0" fontId="10" fillId="0" borderId="0" xfId="0" applyFont="1" applyAlignment="1">
      <alignment horizontal="center" wrapText="1"/>
    </xf>
    <xf numFmtId="44" fontId="13" fillId="0" borderId="0" xfId="0" applyNumberFormat="1" applyFont="1" applyAlignment="1">
      <alignment wrapText="1"/>
    </xf>
    <xf numFmtId="43" fontId="0" fillId="0" borderId="0" xfId="0" applyNumberFormat="1" applyAlignment="1">
      <alignment wrapText="1"/>
    </xf>
    <xf numFmtId="0" fontId="14" fillId="0" borderId="0" xfId="0" applyFont="1" applyAlignment="1">
      <alignment horizontal="center" vertical="center" wrapText="1"/>
    </xf>
    <xf numFmtId="0" fontId="10" fillId="11" borderId="0" xfId="0" applyFont="1" applyFill="1" applyAlignment="1">
      <alignment vertical="center"/>
    </xf>
    <xf numFmtId="0" fontId="11" fillId="11" borderId="0" xfId="0" applyFont="1" applyFill="1" applyAlignment="1">
      <alignment vertical="center"/>
    </xf>
    <xf numFmtId="43" fontId="13" fillId="0" borderId="0" xfId="2" applyFont="1" applyBorder="1" applyAlignment="1">
      <alignment wrapText="1"/>
    </xf>
    <xf numFmtId="43" fontId="0" fillId="0" borderId="0" xfId="0" applyNumberFormat="1"/>
    <xf numFmtId="43" fontId="12" fillId="0" borderId="0" xfId="0" applyNumberFormat="1" applyFont="1" applyAlignment="1">
      <alignment vertical="center" wrapText="1"/>
    </xf>
    <xf numFmtId="1" fontId="19" fillId="16" borderId="22" xfId="5" applyNumberFormat="1">
      <alignment vertical="center"/>
    </xf>
    <xf numFmtId="43" fontId="19" fillId="16" borderId="22" xfId="5" applyNumberFormat="1">
      <alignment vertical="center"/>
    </xf>
    <xf numFmtId="9" fontId="18" fillId="14" borderId="22" xfId="4" applyNumberFormat="1" applyAlignment="1">
      <alignment horizontal="center" vertical="center"/>
    </xf>
    <xf numFmtId="43" fontId="19" fillId="16" borderId="22" xfId="2" applyFont="1" applyFill="1" applyBorder="1" applyAlignment="1">
      <alignment vertical="center"/>
    </xf>
    <xf numFmtId="9" fontId="18" fillId="14" borderId="24" xfId="4" applyNumberFormat="1" applyBorder="1" applyAlignment="1">
      <alignment horizontal="center" vertical="center"/>
    </xf>
    <xf numFmtId="1" fontId="19" fillId="16" borderId="24" xfId="5" applyNumberFormat="1" applyBorder="1">
      <alignment vertical="center"/>
    </xf>
    <xf numFmtId="43" fontId="19" fillId="16" borderId="24" xfId="5" applyNumberFormat="1" applyBorder="1">
      <alignment vertical="center"/>
    </xf>
    <xf numFmtId="43" fontId="19" fillId="16" borderId="24" xfId="2" applyFont="1" applyFill="1" applyBorder="1" applyAlignment="1">
      <alignment vertical="center"/>
    </xf>
    <xf numFmtId="44" fontId="19" fillId="16" borderId="22" xfId="1" applyFont="1" applyFill="1" applyBorder="1" applyAlignment="1">
      <alignment vertical="center"/>
    </xf>
    <xf numFmtId="44" fontId="19" fillId="16" borderId="24" xfId="1" applyFont="1" applyFill="1" applyBorder="1" applyAlignment="1">
      <alignment vertical="center"/>
    </xf>
    <xf numFmtId="43" fontId="12" fillId="0" borderId="0" xfId="2" applyFont="1" applyAlignment="1">
      <alignment vertical="center" wrapText="1"/>
    </xf>
    <xf numFmtId="172" fontId="12" fillId="0" borderId="0" xfId="2" applyNumberFormat="1" applyFont="1" applyAlignment="1">
      <alignment vertical="center" wrapText="1"/>
    </xf>
    <xf numFmtId="0" fontId="13" fillId="0" borderId="0" xfId="0" applyFont="1" applyAlignment="1">
      <alignment horizontal="left" vertical="center" wrapText="1"/>
    </xf>
    <xf numFmtId="43" fontId="12" fillId="0" borderId="0" xfId="0" applyNumberFormat="1" applyFont="1" applyAlignment="1">
      <alignment horizontal="left" vertical="center" wrapText="1"/>
    </xf>
    <xf numFmtId="0" fontId="0" fillId="0" borderId="0" xfId="0" applyAlignment="1">
      <alignment wrapText="1"/>
    </xf>
    <xf numFmtId="43" fontId="0" fillId="0" borderId="0" xfId="2" applyFont="1" applyAlignment="1">
      <alignment wrapText="1"/>
    </xf>
    <xf numFmtId="0" fontId="0" fillId="0" borderId="0" xfId="0" applyAlignment="1">
      <alignment horizontal="center" vertical="center" wrapText="1"/>
    </xf>
    <xf numFmtId="43" fontId="0" fillId="0" borderId="0" xfId="2" applyFont="1" applyFill="1" applyBorder="1" applyAlignment="1">
      <alignment horizontal="center" vertical="center" wrapText="1"/>
    </xf>
    <xf numFmtId="164" fontId="12" fillId="0" borderId="0" xfId="2" applyNumberFormat="1" applyFont="1" applyAlignment="1">
      <alignment vertical="center" wrapText="1"/>
    </xf>
    <xf numFmtId="172" fontId="12" fillId="0" borderId="0" xfId="0" applyNumberFormat="1" applyFont="1" applyAlignment="1">
      <alignment vertical="center" wrapText="1"/>
    </xf>
    <xf numFmtId="164" fontId="12" fillId="0" borderId="0" xfId="0" applyNumberFormat="1" applyFont="1" applyAlignment="1">
      <alignment vertical="center" wrapText="1"/>
    </xf>
    <xf numFmtId="44" fontId="0" fillId="0" borderId="0" xfId="1" applyFont="1"/>
    <xf numFmtId="44" fontId="0" fillId="0" borderId="0" xfId="0" applyNumberFormat="1"/>
    <xf numFmtId="43" fontId="0" fillId="0" borderId="0" xfId="2" applyFont="1"/>
    <xf numFmtId="43" fontId="12" fillId="9" borderId="0" xfId="2" applyFont="1" applyFill="1" applyBorder="1" applyAlignment="1">
      <alignment vertical="center" wrapText="1"/>
    </xf>
    <xf numFmtId="43" fontId="13" fillId="9" borderId="0" xfId="2" applyFont="1" applyFill="1" applyBorder="1" applyAlignment="1">
      <alignment vertical="center" wrapText="1"/>
    </xf>
    <xf numFmtId="44" fontId="12" fillId="0" borderId="19" xfId="1" applyFont="1" applyBorder="1" applyAlignment="1">
      <alignment vertical="center"/>
    </xf>
    <xf numFmtId="44" fontId="12" fillId="0" borderId="0" xfId="1" applyFont="1" applyBorder="1" applyAlignment="1">
      <alignment vertical="center"/>
    </xf>
    <xf numFmtId="44" fontId="12" fillId="0" borderId="21" xfId="1" applyFont="1" applyBorder="1" applyAlignment="1">
      <alignment vertical="center"/>
    </xf>
    <xf numFmtId="44" fontId="12" fillId="3" borderId="0" xfId="1" applyFont="1" applyFill="1" applyBorder="1" applyAlignment="1">
      <alignment vertical="center"/>
    </xf>
    <xf numFmtId="44" fontId="12" fillId="10" borderId="0" xfId="1" applyFont="1" applyFill="1" applyBorder="1" applyAlignment="1">
      <alignment vertical="center"/>
    </xf>
    <xf numFmtId="44" fontId="12" fillId="12" borderId="21" xfId="1" applyFont="1" applyFill="1" applyBorder="1" applyAlignment="1">
      <alignment vertical="center"/>
    </xf>
    <xf numFmtId="44" fontId="12" fillId="0" borderId="0" xfId="1" applyFont="1" applyAlignment="1">
      <alignment vertical="center"/>
    </xf>
    <xf numFmtId="44" fontId="12" fillId="7" borderId="19" xfId="1" applyFont="1" applyFill="1" applyBorder="1" applyAlignment="1">
      <alignment vertical="center"/>
    </xf>
    <xf numFmtId="44" fontId="12" fillId="0" borderId="18" xfId="1" applyFont="1" applyBorder="1" applyAlignment="1">
      <alignment vertical="center"/>
    </xf>
    <xf numFmtId="44" fontId="12" fillId="0" borderId="17" xfId="1" applyFont="1" applyBorder="1" applyAlignment="1">
      <alignment vertical="center"/>
    </xf>
    <xf numFmtId="44" fontId="12" fillId="0" borderId="16" xfId="1" applyFont="1" applyBorder="1" applyAlignment="1">
      <alignment vertical="center"/>
    </xf>
    <xf numFmtId="44" fontId="12" fillId="3" borderId="17" xfId="1" applyFont="1" applyFill="1" applyBorder="1" applyAlignment="1">
      <alignment vertical="center"/>
    </xf>
    <xf numFmtId="44" fontId="12" fillId="10" borderId="17" xfId="1" applyFont="1" applyFill="1" applyBorder="1" applyAlignment="1">
      <alignment vertical="center"/>
    </xf>
    <xf numFmtId="44" fontId="12" fillId="12" borderId="16" xfId="1" applyFont="1" applyFill="1" applyBorder="1" applyAlignment="1">
      <alignment vertical="center"/>
    </xf>
    <xf numFmtId="44" fontId="12" fillId="7" borderId="18" xfId="1" applyFont="1" applyFill="1" applyBorder="1" applyAlignment="1">
      <alignment vertical="center"/>
    </xf>
    <xf numFmtId="44" fontId="13" fillId="0" borderId="9" xfId="1" applyFont="1" applyBorder="1" applyAlignment="1">
      <alignment vertical="center"/>
    </xf>
    <xf numFmtId="44" fontId="13" fillId="3" borderId="20" xfId="1" applyFont="1" applyFill="1" applyBorder="1" applyAlignment="1">
      <alignment vertical="center"/>
    </xf>
    <xf numFmtId="44" fontId="13" fillId="10" borderId="9" xfId="1" applyFont="1" applyFill="1" applyBorder="1" applyAlignment="1">
      <alignment vertical="center"/>
    </xf>
    <xf numFmtId="44" fontId="13" fillId="12" borderId="15" xfId="1" applyFont="1" applyFill="1" applyBorder="1" applyAlignment="1">
      <alignment vertical="center"/>
    </xf>
    <xf numFmtId="44" fontId="13" fillId="0" borderId="20" xfId="1" applyFont="1" applyBorder="1" applyAlignment="1">
      <alignment vertical="center"/>
    </xf>
    <xf numFmtId="44" fontId="13" fillId="7" borderId="20" xfId="1" applyFont="1" applyFill="1" applyBorder="1" applyAlignment="1">
      <alignment vertical="center"/>
    </xf>
    <xf numFmtId="44" fontId="12" fillId="9" borderId="0" xfId="1" applyFont="1" applyFill="1" applyBorder="1" applyAlignment="1">
      <alignment vertical="center" wrapText="1"/>
    </xf>
    <xf numFmtId="43" fontId="12" fillId="0" borderId="0" xfId="0" applyNumberFormat="1" applyFont="1" applyAlignment="1">
      <alignment wrapText="1"/>
    </xf>
    <xf numFmtId="43" fontId="13" fillId="0" borderId="0" xfId="0" applyNumberFormat="1" applyFont="1" applyAlignment="1">
      <alignment wrapText="1"/>
    </xf>
    <xf numFmtId="43" fontId="18" fillId="14" borderId="22" xfId="4" applyNumberFormat="1">
      <alignment horizontal="left" vertical="center"/>
    </xf>
    <xf numFmtId="44" fontId="12" fillId="0" borderId="0" xfId="1" applyFont="1" applyFill="1" applyBorder="1" applyAlignment="1">
      <alignment wrapText="1"/>
    </xf>
    <xf numFmtId="44" fontId="13" fillId="0" borderId="0" xfId="1" applyFont="1" applyFill="1" applyBorder="1" applyAlignment="1">
      <alignment wrapText="1"/>
    </xf>
    <xf numFmtId="3" fontId="12" fillId="0" borderId="0" xfId="0" applyNumberFormat="1" applyFont="1"/>
    <xf numFmtId="4" fontId="12" fillId="0" borderId="0" xfId="0" applyNumberFormat="1" applyFont="1"/>
    <xf numFmtId="44" fontId="12" fillId="0" borderId="0" xfId="1" applyFont="1" applyFill="1" applyBorder="1"/>
    <xf numFmtId="43" fontId="0" fillId="0" borderId="0" xfId="2" applyFont="1" applyAlignment="1">
      <alignment horizontal="right"/>
    </xf>
    <xf numFmtId="43" fontId="0" fillId="0" borderId="0" xfId="2" applyFont="1" applyFill="1" applyBorder="1"/>
    <xf numFmtId="43" fontId="12" fillId="0" borderId="0" xfId="2" applyFont="1" applyFill="1" applyBorder="1"/>
    <xf numFmtId="43" fontId="12" fillId="0" borderId="9" xfId="2" applyFont="1" applyFill="1" applyBorder="1"/>
    <xf numFmtId="43" fontId="27" fillId="8" borderId="0" xfId="7" applyNumberFormat="1" applyBorder="1" applyAlignment="1">
      <alignment horizontal="right"/>
    </xf>
    <xf numFmtId="43" fontId="27" fillId="8" borderId="9" xfId="7" applyNumberFormat="1" applyBorder="1" applyAlignment="1">
      <alignment horizontal="right"/>
    </xf>
    <xf numFmtId="44" fontId="19" fillId="16" borderId="22" xfId="5" applyNumberFormat="1">
      <alignment vertical="center"/>
    </xf>
    <xf numFmtId="44" fontId="10" fillId="0" borderId="0" xfId="1" applyFont="1" applyFill="1" applyBorder="1" applyAlignment="1">
      <alignment horizontal="center" vertical="center" wrapText="1"/>
    </xf>
    <xf numFmtId="164" fontId="27" fillId="8" borderId="0" xfId="7" applyNumberFormat="1" applyBorder="1" applyAlignment="1">
      <alignment vertical="center" wrapText="1"/>
    </xf>
    <xf numFmtId="44" fontId="0" fillId="0" borderId="0" xfId="1" applyFont="1" applyFill="1" applyBorder="1" applyAlignment="1">
      <alignment horizontal="center" vertical="center" wrapText="1"/>
    </xf>
    <xf numFmtId="169" fontId="19" fillId="16" borderId="22" xfId="5" applyNumberFormat="1">
      <alignment vertical="center"/>
    </xf>
    <xf numFmtId="44" fontId="12" fillId="0" borderId="0" xfId="1" applyFont="1" applyFill="1" applyBorder="1" applyAlignment="1">
      <alignment vertical="center" wrapText="1"/>
    </xf>
    <xf numFmtId="0" fontId="15" fillId="0" borderId="0" xfId="0" applyFont="1" applyAlignment="1">
      <alignment horizontal="left" vertical="center"/>
    </xf>
    <xf numFmtId="44" fontId="12" fillId="0" borderId="0" xfId="1" applyFont="1" applyAlignment="1">
      <alignment horizontal="left" vertical="center" wrapText="1"/>
    </xf>
    <xf numFmtId="44" fontId="0" fillId="0" borderId="0" xfId="0" applyNumberFormat="1" applyAlignment="1">
      <alignment wrapText="1"/>
    </xf>
    <xf numFmtId="0" fontId="29" fillId="0" borderId="0" xfId="0" applyFont="1"/>
    <xf numFmtId="9" fontId="0" fillId="0" borderId="0" xfId="3" applyFont="1" applyAlignment="1">
      <alignment horizontal="center"/>
    </xf>
    <xf numFmtId="1" fontId="0" fillId="0" borderId="0" xfId="0" applyNumberFormat="1"/>
    <xf numFmtId="1" fontId="0" fillId="0" borderId="0" xfId="0" applyNumberFormat="1" applyAlignment="1">
      <alignment horizontal="center"/>
    </xf>
    <xf numFmtId="0" fontId="0" fillId="0" borderId="0" xfId="0" applyAlignment="1">
      <alignment horizontal="center"/>
    </xf>
    <xf numFmtId="0" fontId="30" fillId="0" borderId="0" xfId="0" applyFont="1"/>
    <xf numFmtId="0" fontId="31" fillId="0" borderId="0" xfId="0" applyFont="1"/>
    <xf numFmtId="0" fontId="0" fillId="18" borderId="0" xfId="0" applyFill="1"/>
    <xf numFmtId="0" fontId="0" fillId="0" borderId="13" xfId="0" applyBorder="1"/>
    <xf numFmtId="0" fontId="29" fillId="0" borderId="13" xfId="0" applyFont="1" applyBorder="1" applyAlignment="1">
      <alignment horizontal="center"/>
    </xf>
    <xf numFmtId="0" fontId="29" fillId="0" borderId="14" xfId="0" applyFont="1" applyBorder="1" applyAlignment="1">
      <alignment horizontal="center"/>
    </xf>
    <xf numFmtId="0" fontId="0" fillId="0" borderId="4" xfId="0" applyBorder="1" applyAlignment="1">
      <alignment horizontal="center"/>
    </xf>
    <xf numFmtId="0" fontId="29" fillId="0" borderId="6" xfId="0" applyFont="1" applyBorder="1"/>
    <xf numFmtId="0" fontId="29" fillId="0" borderId="13" xfId="0" applyFont="1" applyBorder="1"/>
    <xf numFmtId="1" fontId="0" fillId="0" borderId="13" xfId="0" applyNumberFormat="1" applyBorder="1" applyAlignment="1">
      <alignment horizontal="center"/>
    </xf>
    <xf numFmtId="1" fontId="0" fillId="0" borderId="14" xfId="0" applyNumberFormat="1" applyBorder="1" applyAlignment="1">
      <alignment horizontal="center"/>
    </xf>
    <xf numFmtId="166" fontId="0" fillId="0" borderId="0" xfId="3" applyNumberFormat="1" applyFont="1" applyBorder="1" applyAlignment="1">
      <alignment horizontal="center"/>
    </xf>
    <xf numFmtId="1" fontId="29" fillId="0" borderId="0" xfId="0" applyNumberFormat="1" applyFont="1" applyAlignment="1">
      <alignment horizontal="center"/>
    </xf>
    <xf numFmtId="1" fontId="29" fillId="0" borderId="4" xfId="0" applyNumberFormat="1" applyFont="1" applyBorder="1" applyAlignment="1">
      <alignment horizontal="center"/>
    </xf>
    <xf numFmtId="0" fontId="29" fillId="0" borderId="0" xfId="0" applyFont="1" applyAlignment="1">
      <alignment horizontal="center"/>
    </xf>
    <xf numFmtId="0" fontId="29" fillId="0" borderId="4" xfId="0" applyFont="1" applyBorder="1" applyAlignment="1">
      <alignment horizontal="center"/>
    </xf>
    <xf numFmtId="1" fontId="0" fillId="0" borderId="4" xfId="0" applyNumberFormat="1" applyBorder="1" applyAlignment="1">
      <alignment horizontal="center"/>
    </xf>
    <xf numFmtId="0" fontId="0" fillId="0" borderId="4" xfId="0" applyBorder="1"/>
    <xf numFmtId="0" fontId="0" fillId="0" borderId="3" xfId="0" applyBorder="1"/>
    <xf numFmtId="0" fontId="29" fillId="0" borderId="3" xfId="0" applyFont="1" applyBorder="1"/>
    <xf numFmtId="0" fontId="0" fillId="0" borderId="5" xfId="0" applyBorder="1"/>
    <xf numFmtId="0" fontId="29" fillId="0" borderId="3" xfId="0" applyFont="1" applyBorder="1" applyAlignment="1">
      <alignment horizontal="left" vertical="center"/>
    </xf>
    <xf numFmtId="0" fontId="33" fillId="0" borderId="5" xfId="0" applyFont="1" applyBorder="1"/>
    <xf numFmtId="0" fontId="0" fillId="0" borderId="6" xfId="0" applyBorder="1"/>
    <xf numFmtId="0" fontId="0" fillId="0" borderId="7" xfId="0" applyBorder="1"/>
    <xf numFmtId="0" fontId="13" fillId="0" borderId="9" xfId="0" applyFont="1" applyBorder="1" applyAlignment="1">
      <alignment horizontal="center" vertical="center" wrapText="1"/>
    </xf>
    <xf numFmtId="0" fontId="14" fillId="0" borderId="11" xfId="0" applyFont="1" applyBorder="1" applyAlignment="1">
      <alignment horizontal="left" vertical="center" wrapText="1"/>
    </xf>
    <xf numFmtId="1" fontId="29" fillId="19" borderId="6" xfId="0" applyNumberFormat="1" applyFont="1" applyFill="1" applyBorder="1" applyAlignment="1">
      <alignment horizontal="center"/>
    </xf>
    <xf numFmtId="1" fontId="29" fillId="19" borderId="7" xfId="0" applyNumberFormat="1" applyFont="1" applyFill="1" applyBorder="1" applyAlignment="1">
      <alignment horizontal="center"/>
    </xf>
    <xf numFmtId="0" fontId="0" fillId="19" borderId="0" xfId="0" applyFill="1" applyAlignment="1">
      <alignment horizontal="center"/>
    </xf>
    <xf numFmtId="0" fontId="0" fillId="19" borderId="4" xfId="0" applyFill="1" applyBorder="1" applyAlignment="1">
      <alignment horizontal="center" vertical="center"/>
    </xf>
    <xf numFmtId="0" fontId="0" fillId="19" borderId="4" xfId="0" applyFill="1" applyBorder="1" applyAlignment="1">
      <alignment horizontal="center"/>
    </xf>
    <xf numFmtId="0" fontId="0" fillId="19" borderId="6" xfId="0" applyFill="1" applyBorder="1" applyAlignment="1">
      <alignment horizontal="center"/>
    </xf>
    <xf numFmtId="0" fontId="0" fillId="19" borderId="7" xfId="0" applyFill="1" applyBorder="1" applyAlignment="1">
      <alignment horizontal="center"/>
    </xf>
    <xf numFmtId="44" fontId="12" fillId="0" borderId="0" xfId="0" applyNumberFormat="1" applyFont="1" applyAlignment="1">
      <alignment horizontal="center"/>
    </xf>
    <xf numFmtId="43" fontId="12" fillId="0" borderId="0" xfId="2" applyFont="1" applyAlignment="1">
      <alignment vertical="center"/>
    </xf>
    <xf numFmtId="164" fontId="19" fillId="16" borderId="22" xfId="2" applyNumberFormat="1" applyFont="1" applyFill="1" applyBorder="1" applyAlignment="1">
      <alignment vertical="center"/>
    </xf>
    <xf numFmtId="164" fontId="19" fillId="16" borderId="24" xfId="2" applyNumberFormat="1" applyFont="1" applyFill="1" applyBorder="1" applyAlignment="1">
      <alignment vertical="center"/>
    </xf>
    <xf numFmtId="165" fontId="12" fillId="0" borderId="0" xfId="0" applyNumberFormat="1" applyFont="1" applyAlignment="1">
      <alignment horizontal="center" wrapText="1"/>
    </xf>
    <xf numFmtId="0" fontId="13" fillId="0" borderId="0" xfId="0" applyFont="1" applyAlignment="1">
      <alignment horizontal="left" wrapText="1"/>
    </xf>
    <xf numFmtId="44" fontId="13" fillId="0" borderId="0" xfId="1" applyFont="1" applyFill="1" applyBorder="1" applyAlignment="1">
      <alignment horizontal="center" wrapText="1"/>
    </xf>
    <xf numFmtId="0" fontId="12" fillId="0" borderId="0" xfId="0" applyFont="1" applyAlignment="1">
      <alignment horizontal="left" wrapText="1"/>
    </xf>
    <xf numFmtId="164" fontId="18" fillId="0" borderId="0" xfId="4" applyNumberFormat="1" applyFill="1" applyBorder="1">
      <alignment horizontal="left" vertical="center"/>
    </xf>
    <xf numFmtId="0" fontId="12" fillId="0" borderId="0" xfId="3" applyNumberFormat="1" applyFont="1" applyFill="1" applyBorder="1"/>
    <xf numFmtId="44" fontId="13" fillId="0" borderId="0" xfId="1" applyFont="1" applyFill="1" applyBorder="1"/>
    <xf numFmtId="0" fontId="13" fillId="4" borderId="0" xfId="0" applyFont="1" applyFill="1" applyAlignment="1">
      <alignment horizontal="left" wrapText="1"/>
    </xf>
    <xf numFmtId="0" fontId="13" fillId="4" borderId="0" xfId="0" applyFont="1" applyFill="1" applyAlignment="1">
      <alignment horizontal="center" wrapText="1"/>
    </xf>
    <xf numFmtId="44" fontId="13" fillId="4" borderId="0" xfId="1" applyFont="1" applyFill="1" applyBorder="1" applyAlignment="1">
      <alignment horizontal="left" wrapText="1"/>
    </xf>
    <xf numFmtId="0" fontId="13" fillId="4" borderId="0" xfId="0" applyFont="1" applyFill="1" applyAlignment="1">
      <alignment wrapText="1"/>
    </xf>
    <xf numFmtId="0" fontId="20" fillId="4" borderId="0" xfId="0" applyFont="1" applyFill="1" applyAlignment="1">
      <alignment wrapText="1"/>
    </xf>
    <xf numFmtId="0" fontId="18" fillId="0" borderId="0" xfId="6" applyFont="1" applyFill="1" applyBorder="1" applyAlignment="1">
      <alignment vertical="center" wrapText="1"/>
    </xf>
    <xf numFmtId="0" fontId="13" fillId="0" borderId="0" xfId="0" applyFont="1" applyAlignment="1">
      <alignment horizontal="left"/>
    </xf>
    <xf numFmtId="0" fontId="18" fillId="14" borderId="22" xfId="4" applyAlignment="1">
      <alignment horizontal="center" vertical="center"/>
    </xf>
    <xf numFmtId="0" fontId="13" fillId="0" borderId="0" xfId="0" applyFont="1" applyAlignment="1">
      <alignment horizontal="right"/>
    </xf>
    <xf numFmtId="0" fontId="15" fillId="0" borderId="1" xfId="0" applyFont="1" applyBorder="1" applyAlignment="1">
      <alignment vertical="center" wrapText="1"/>
    </xf>
    <xf numFmtId="44" fontId="12" fillId="0" borderId="0" xfId="0" applyNumberFormat="1" applyFont="1" applyAlignment="1">
      <alignment horizontal="left" vertical="center" wrapText="1"/>
    </xf>
    <xf numFmtId="44" fontId="12" fillId="0" borderId="0" xfId="1" applyFont="1" applyFill="1" applyBorder="1" applyAlignment="1">
      <alignment horizontal="center" vertical="center" wrapText="1"/>
    </xf>
    <xf numFmtId="164" fontId="12" fillId="0" borderId="0" xfId="2" applyNumberFormat="1" applyFont="1" applyFill="1" applyBorder="1" applyAlignment="1">
      <alignment horizontal="left" vertical="center" wrapText="1"/>
    </xf>
    <xf numFmtId="164" fontId="12" fillId="0" borderId="0" xfId="2" applyNumberFormat="1" applyFont="1" applyFill="1" applyAlignment="1">
      <alignment horizontal="left" vertical="center" wrapText="1"/>
    </xf>
    <xf numFmtId="44" fontId="12" fillId="0" borderId="0" xfId="1" applyFont="1" applyAlignment="1">
      <alignment horizontal="left" wrapText="1"/>
    </xf>
    <xf numFmtId="44" fontId="12" fillId="0" borderId="0" xfId="1" applyFont="1" applyFill="1" applyAlignment="1">
      <alignment horizontal="left" wrapText="1"/>
    </xf>
    <xf numFmtId="44" fontId="12" fillId="0" borderId="0" xfId="0" applyNumberFormat="1" applyFont="1" applyAlignment="1">
      <alignment vertical="center"/>
    </xf>
    <xf numFmtId="44" fontId="13" fillId="0" borderId="0" xfId="0" applyNumberFormat="1" applyFont="1"/>
    <xf numFmtId="0" fontId="16" fillId="0" borderId="0" xfId="0" applyFont="1"/>
    <xf numFmtId="44" fontId="34" fillId="0" borderId="0" xfId="0" applyNumberFormat="1" applyFont="1"/>
    <xf numFmtId="44" fontId="34" fillId="0" borderId="0" xfId="1" applyFont="1" applyFill="1" applyBorder="1"/>
    <xf numFmtId="0" fontId="12" fillId="0" borderId="0" xfId="0" applyFont="1" applyAlignment="1">
      <alignment horizontal="left" vertical="center" indent="1"/>
    </xf>
    <xf numFmtId="0" fontId="12" fillId="0" borderId="0" xfId="0" applyFont="1" applyAlignment="1">
      <alignment horizontal="left" vertical="center" indent="2"/>
    </xf>
    <xf numFmtId="0" fontId="32" fillId="0" borderId="0" xfId="0" applyFont="1" applyAlignment="1">
      <alignment vertical="center"/>
    </xf>
    <xf numFmtId="0" fontId="11" fillId="0" borderId="0" xfId="0" applyFont="1" applyAlignment="1">
      <alignment horizontal="center" vertical="center"/>
    </xf>
    <xf numFmtId="0" fontId="11" fillId="0" borderId="0" xfId="0" applyFont="1" applyAlignment="1">
      <alignment horizontal="center" vertical="center" wrapText="1"/>
    </xf>
    <xf numFmtId="0" fontId="0" fillId="0" borderId="0" xfId="0" applyAlignment="1">
      <alignment vertical="center" wrapText="1"/>
    </xf>
    <xf numFmtId="44" fontId="0" fillId="0" borderId="0" xfId="0" applyNumberFormat="1" applyAlignment="1">
      <alignment vertical="center" wrapText="1"/>
    </xf>
    <xf numFmtId="0" fontId="29" fillId="0" borderId="0" xfId="0" applyFont="1" applyAlignment="1">
      <alignment horizontal="center" vertical="center" wrapText="1"/>
    </xf>
    <xf numFmtId="0" fontId="29" fillId="0" borderId="0" xfId="0" applyFont="1" applyAlignment="1">
      <alignment vertical="center"/>
    </xf>
    <xf numFmtId="1" fontId="0" fillId="0" borderId="0" xfId="0" applyNumberFormat="1" applyAlignment="1">
      <alignment vertical="center" wrapText="1"/>
    </xf>
    <xf numFmtId="164" fontId="0" fillId="0" borderId="0" xfId="2" applyNumberFormat="1" applyFont="1" applyAlignment="1">
      <alignment vertical="center" wrapText="1"/>
    </xf>
    <xf numFmtId="0" fontId="0" fillId="0" borderId="0" xfId="0" applyAlignment="1">
      <alignment vertical="center"/>
    </xf>
    <xf numFmtId="0" fontId="0" fillId="0" borderId="0" xfId="3" applyNumberFormat="1" applyFont="1" applyAlignment="1">
      <alignment horizontal="center" vertical="center" wrapText="1"/>
    </xf>
    <xf numFmtId="0" fontId="28" fillId="0" borderId="0" xfId="0" applyFont="1" applyAlignment="1">
      <alignment horizontal="center"/>
    </xf>
    <xf numFmtId="44" fontId="13" fillId="0" borderId="15" xfId="1" applyFont="1" applyBorder="1" applyAlignment="1">
      <alignment vertical="center"/>
    </xf>
    <xf numFmtId="0" fontId="13" fillId="0" borderId="20" xfId="0" applyFont="1" applyBorder="1" applyAlignment="1">
      <alignment horizontal="center" vertical="center" wrapText="1"/>
    </xf>
    <xf numFmtId="0" fontId="13" fillId="0" borderId="15" xfId="0" applyFont="1" applyBorder="1" applyAlignment="1">
      <alignment horizontal="center" vertical="center" wrapText="1"/>
    </xf>
    <xf numFmtId="0" fontId="13" fillId="3" borderId="20" xfId="0" applyFont="1" applyFill="1" applyBorder="1" applyAlignment="1">
      <alignment horizontal="center" vertical="center" wrapText="1"/>
    </xf>
    <xf numFmtId="0" fontId="13" fillId="10" borderId="9" xfId="0" applyFont="1" applyFill="1" applyBorder="1" applyAlignment="1">
      <alignment horizontal="center" vertical="center" wrapText="1"/>
    </xf>
    <xf numFmtId="0" fontId="13" fillId="12" borderId="15" xfId="0" applyFont="1" applyFill="1" applyBorder="1" applyAlignment="1">
      <alignment horizontal="center" vertical="center" wrapText="1"/>
    </xf>
    <xf numFmtId="0" fontId="13" fillId="7" borderId="20" xfId="0" applyFont="1" applyFill="1" applyBorder="1" applyAlignment="1">
      <alignment horizontal="center" vertical="center" wrapText="1"/>
    </xf>
    <xf numFmtId="0" fontId="12" fillId="0" borderId="0" xfId="1" applyNumberFormat="1" applyFont="1" applyAlignment="1">
      <alignment horizontal="center" vertical="center" wrapText="1"/>
    </xf>
    <xf numFmtId="44" fontId="13" fillId="0" borderId="0" xfId="1" applyFont="1"/>
    <xf numFmtId="9" fontId="12" fillId="0" borderId="0" xfId="0" applyNumberFormat="1" applyFont="1" applyAlignment="1">
      <alignment horizontal="center"/>
    </xf>
    <xf numFmtId="44" fontId="12" fillId="0" borderId="0" xfId="0" applyNumberFormat="1" applyFont="1" applyAlignment="1">
      <alignment horizontal="left" vertical="center"/>
    </xf>
    <xf numFmtId="2" fontId="12" fillId="0" borderId="0" xfId="0" applyNumberFormat="1" applyFont="1" applyAlignment="1">
      <alignment vertical="center"/>
    </xf>
    <xf numFmtId="44" fontId="12" fillId="0" borderId="0" xfId="1" applyFont="1" applyFill="1" applyBorder="1" applyAlignment="1">
      <alignment horizontal="right" vertical="center"/>
    </xf>
    <xf numFmtId="0" fontId="14" fillId="0" borderId="0" xfId="0" applyFont="1" applyAlignment="1">
      <alignment vertical="center"/>
    </xf>
    <xf numFmtId="44" fontId="14" fillId="0" borderId="0" xfId="0" applyNumberFormat="1" applyFont="1" applyAlignment="1">
      <alignment horizontal="center" vertical="center"/>
    </xf>
    <xf numFmtId="44" fontId="14" fillId="0" borderId="0" xfId="1" applyFont="1" applyFill="1" applyBorder="1" applyAlignment="1">
      <alignment vertical="center"/>
    </xf>
    <xf numFmtId="44" fontId="14" fillId="0" borderId="0" xfId="0" applyNumberFormat="1" applyFont="1" applyAlignment="1">
      <alignment vertical="center"/>
    </xf>
    <xf numFmtId="2" fontId="13" fillId="0" borderId="0" xfId="0" applyNumberFormat="1" applyFont="1" applyAlignment="1">
      <alignment horizontal="center" vertical="center"/>
    </xf>
    <xf numFmtId="0" fontId="13" fillId="0" borderId="17" xfId="0" applyFont="1" applyBorder="1" applyAlignment="1">
      <alignment vertical="center"/>
    </xf>
    <xf numFmtId="43" fontId="12" fillId="0" borderId="0" xfId="2" applyFont="1" applyAlignment="1">
      <alignment wrapText="1"/>
    </xf>
    <xf numFmtId="43" fontId="0" fillId="0" borderId="0" xfId="2" applyFont="1" applyFill="1" applyAlignment="1">
      <alignment horizontal="center" vertical="center" wrapText="1"/>
    </xf>
    <xf numFmtId="0" fontId="0" fillId="0" borderId="0" xfId="0" applyAlignment="1">
      <alignment horizontal="center" wrapText="1"/>
    </xf>
    <xf numFmtId="1" fontId="0" fillId="0" borderId="0" xfId="0" applyNumberFormat="1" applyAlignment="1">
      <alignment wrapText="1"/>
    </xf>
    <xf numFmtId="44" fontId="12" fillId="0" borderId="0" xfId="1" applyFont="1" applyAlignment="1">
      <alignment horizontal="left" vertical="center"/>
    </xf>
    <xf numFmtId="44" fontId="12" fillId="0" borderId="17" xfId="1" applyFont="1" applyBorder="1" applyAlignment="1">
      <alignment horizontal="left" vertical="center"/>
    </xf>
    <xf numFmtId="0" fontId="11" fillId="11" borderId="0" xfId="0" applyFont="1" applyFill="1" applyAlignment="1">
      <alignment vertical="center" wrapText="1"/>
    </xf>
    <xf numFmtId="0" fontId="18" fillId="14" borderId="22" xfId="4">
      <alignment horizontal="left" vertical="center"/>
    </xf>
    <xf numFmtId="44" fontId="18" fillId="14" borderId="22" xfId="4" applyNumberFormat="1">
      <alignment horizontal="left" vertical="center"/>
    </xf>
    <xf numFmtId="0" fontId="18" fillId="14" borderId="22" xfId="4" applyNumberFormat="1">
      <alignment horizontal="left" vertical="center"/>
    </xf>
    <xf numFmtId="0" fontId="12" fillId="6" borderId="12" xfId="0" applyFont="1" applyFill="1" applyBorder="1"/>
    <xf numFmtId="0" fontId="12" fillId="6" borderId="13" xfId="0" applyFont="1" applyFill="1" applyBorder="1"/>
    <xf numFmtId="0" fontId="13" fillId="6" borderId="13" xfId="0" applyFont="1" applyFill="1" applyBorder="1" applyAlignment="1">
      <alignment horizontal="right"/>
    </xf>
    <xf numFmtId="44" fontId="13" fillId="6" borderId="14" xfId="1" applyFont="1" applyFill="1" applyBorder="1"/>
    <xf numFmtId="9" fontId="18" fillId="14" borderId="22" xfId="4" applyNumberFormat="1">
      <alignment horizontal="left" vertical="center"/>
    </xf>
    <xf numFmtId="3" fontId="18" fillId="14" borderId="0" xfId="4" applyNumberFormat="1" applyBorder="1" applyAlignment="1">
      <alignment horizontal="right" vertical="center" wrapText="1"/>
    </xf>
    <xf numFmtId="174" fontId="18" fillId="14" borderId="0" xfId="4" applyNumberFormat="1" applyBorder="1" applyAlignment="1">
      <alignment horizontal="right" vertical="center" wrapText="1"/>
    </xf>
    <xf numFmtId="3" fontId="18" fillId="14" borderId="0" xfId="4" applyNumberFormat="1" applyBorder="1" applyAlignment="1">
      <alignment vertical="center" wrapText="1"/>
    </xf>
    <xf numFmtId="174" fontId="18" fillId="14" borderId="0" xfId="4" applyNumberFormat="1" applyBorder="1" applyAlignment="1">
      <alignment vertical="center" wrapText="1"/>
    </xf>
    <xf numFmtId="173" fontId="18" fillId="14" borderId="22" xfId="4" applyNumberFormat="1">
      <alignment horizontal="left" vertical="center"/>
    </xf>
    <xf numFmtId="164" fontId="28" fillId="0" borderId="0" xfId="0" applyNumberFormat="1" applyFont="1" applyAlignment="1">
      <alignment vertical="center" wrapText="1"/>
    </xf>
    <xf numFmtId="9" fontId="12" fillId="0" borderId="0" xfId="0" applyNumberFormat="1" applyFont="1" applyAlignment="1">
      <alignment vertical="center" wrapText="1"/>
    </xf>
    <xf numFmtId="9" fontId="12" fillId="0" borderId="0" xfId="0" applyNumberFormat="1" applyFont="1"/>
    <xf numFmtId="0" fontId="20" fillId="0" borderId="0" xfId="0" applyFont="1"/>
    <xf numFmtId="0" fontId="37" fillId="0" borderId="0" xfId="8" applyAlignment="1">
      <alignment vertical="center" wrapText="1"/>
    </xf>
    <xf numFmtId="164" fontId="12" fillId="0" borderId="0" xfId="0" applyNumberFormat="1" applyFont="1" applyAlignment="1">
      <alignment horizontal="left" vertical="center" wrapText="1"/>
    </xf>
    <xf numFmtId="0" fontId="29" fillId="0" borderId="0" xfId="0" applyFont="1" applyAlignment="1">
      <alignment wrapText="1"/>
    </xf>
    <xf numFmtId="0" fontId="38" fillId="0" borderId="0" xfId="0" applyFont="1"/>
    <xf numFmtId="44" fontId="0" fillId="0" borderId="0" xfId="1" applyFont="1" applyAlignment="1">
      <alignment vertical="center"/>
    </xf>
    <xf numFmtId="10" fontId="0" fillId="0" borderId="0" xfId="3" applyNumberFormat="1" applyFont="1"/>
    <xf numFmtId="10" fontId="12" fillId="0" borderId="0" xfId="3" applyNumberFormat="1" applyFont="1"/>
    <xf numFmtId="0" fontId="38" fillId="0" borderId="0" xfId="0" applyFont="1" applyAlignment="1">
      <alignment horizontal="center"/>
    </xf>
    <xf numFmtId="0" fontId="38" fillId="0" borderId="0" xfId="0" applyFont="1" applyAlignment="1">
      <alignment horizontal="center" wrapText="1"/>
    </xf>
    <xf numFmtId="0" fontId="12" fillId="0" borderId="0" xfId="0" quotePrefix="1" applyFont="1" applyAlignment="1">
      <alignment horizontal="center" vertical="center" wrapText="1"/>
    </xf>
    <xf numFmtId="44" fontId="12" fillId="19" borderId="0" xfId="1" applyFont="1" applyFill="1"/>
    <xf numFmtId="44" fontId="39" fillId="0" borderId="0" xfId="1" applyFont="1"/>
    <xf numFmtId="171" fontId="39" fillId="0" borderId="0" xfId="1" applyNumberFormat="1" applyFont="1"/>
    <xf numFmtId="0" fontId="35" fillId="0" borderId="0" xfId="0" applyFont="1"/>
    <xf numFmtId="175" fontId="0" fillId="0" borderId="0" xfId="0" applyNumberFormat="1" applyAlignment="1">
      <alignment wrapText="1"/>
    </xf>
    <xf numFmtId="175" fontId="0" fillId="0" borderId="0" xfId="0" applyNumberFormat="1"/>
    <xf numFmtId="44" fontId="13" fillId="0" borderId="0" xfId="1" applyFont="1" applyFill="1" applyBorder="1" applyAlignment="1">
      <alignment horizontal="left" wrapText="1"/>
    </xf>
    <xf numFmtId="44" fontId="20" fillId="4" borderId="0" xfId="0" applyNumberFormat="1" applyFont="1" applyFill="1" applyAlignment="1">
      <alignment wrapText="1"/>
    </xf>
    <xf numFmtId="44" fontId="13" fillId="4" borderId="0" xfId="0" applyNumberFormat="1" applyFont="1" applyFill="1" applyAlignment="1">
      <alignment horizontal="center" wrapText="1"/>
    </xf>
    <xf numFmtId="0" fontId="12" fillId="0" borderId="0" xfId="1" applyNumberFormat="1" applyFont="1" applyFill="1" applyBorder="1" applyAlignment="1">
      <alignment horizontal="center" vertical="center" wrapText="1"/>
    </xf>
    <xf numFmtId="176" fontId="12" fillId="0" borderId="0" xfId="0" applyNumberFormat="1" applyFont="1" applyAlignment="1">
      <alignment horizontal="left" vertical="center" wrapText="1"/>
    </xf>
    <xf numFmtId="176" fontId="12" fillId="0" borderId="0" xfId="0" applyNumberFormat="1" applyFont="1" applyAlignment="1">
      <alignment vertical="center" wrapText="1"/>
    </xf>
    <xf numFmtId="0" fontId="36" fillId="14" borderId="26" xfId="4" applyFont="1" applyBorder="1" applyAlignment="1">
      <alignment vertical="center" wrapText="1"/>
    </xf>
    <xf numFmtId="0" fontId="18" fillId="14" borderId="26" xfId="4" applyBorder="1" applyAlignment="1">
      <alignment vertical="center"/>
    </xf>
    <xf numFmtId="175" fontId="18" fillId="14" borderId="22" xfId="4" applyNumberFormat="1">
      <alignment horizontal="left" vertical="center"/>
    </xf>
    <xf numFmtId="175" fontId="0" fillId="0" borderId="0" xfId="2" applyNumberFormat="1" applyFont="1"/>
    <xf numFmtId="14" fontId="12" fillId="0" borderId="0" xfId="0" applyNumberFormat="1" applyFont="1" applyAlignment="1">
      <alignment horizontal="center" vertical="center" wrapText="1"/>
    </xf>
    <xf numFmtId="0" fontId="12" fillId="0" borderId="0" xfId="1" applyNumberFormat="1" applyFont="1" applyFill="1" applyBorder="1" applyAlignment="1">
      <alignment horizontal="left" vertical="center" wrapText="1"/>
    </xf>
    <xf numFmtId="176" fontId="13" fillId="0" borderId="0" xfId="0" applyNumberFormat="1" applyFont="1" applyAlignment="1">
      <alignment vertical="center" wrapText="1"/>
    </xf>
    <xf numFmtId="176" fontId="12" fillId="0" borderId="0" xfId="0" applyNumberFormat="1" applyFont="1"/>
    <xf numFmtId="44" fontId="12" fillId="0" borderId="0" xfId="1" applyFont="1" applyAlignment="1">
      <alignment horizontal="right"/>
    </xf>
    <xf numFmtId="0" fontId="20" fillId="0" borderId="0" xfId="0" applyFont="1" applyAlignment="1">
      <alignment horizontal="right"/>
    </xf>
    <xf numFmtId="176" fontId="13" fillId="0" borderId="0" xfId="0" applyNumberFormat="1" applyFont="1"/>
    <xf numFmtId="164" fontId="12" fillId="0" borderId="0" xfId="2" applyNumberFormat="1" applyFont="1"/>
    <xf numFmtId="0" fontId="42" fillId="0" borderId="0" xfId="0" applyFont="1" applyAlignment="1">
      <alignment vertical="center" wrapText="1"/>
    </xf>
    <xf numFmtId="44" fontId="12" fillId="0" borderId="0" xfId="1" applyFont="1" applyAlignment="1">
      <alignment vertical="center" wrapText="1"/>
    </xf>
    <xf numFmtId="0" fontId="12" fillId="0" borderId="0" xfId="0" applyFont="1" applyFill="1" applyAlignment="1">
      <alignment horizontal="center" vertical="center" wrapText="1"/>
    </xf>
    <xf numFmtId="44" fontId="12" fillId="0" borderId="0" xfId="1" applyFont="1" applyFill="1" applyAlignment="1">
      <alignment horizontal="center" vertical="center" wrapText="1"/>
    </xf>
    <xf numFmtId="44" fontId="12" fillId="0" borderId="0" xfId="1" applyNumberFormat="1" applyFont="1" applyFill="1" applyAlignment="1">
      <alignment horizontal="center" vertical="center" wrapText="1"/>
    </xf>
    <xf numFmtId="0" fontId="15" fillId="0" borderId="10" xfId="0" applyFont="1" applyFill="1" applyBorder="1" applyAlignment="1">
      <alignment vertical="center" wrapText="1"/>
    </xf>
    <xf numFmtId="0" fontId="14" fillId="0" borderId="0" xfId="0" applyFont="1" applyFill="1" applyAlignment="1">
      <alignment horizontal="center" vertical="center" wrapText="1"/>
    </xf>
    <xf numFmtId="0" fontId="12" fillId="0" borderId="0" xfId="0" applyFont="1" applyFill="1" applyAlignment="1">
      <alignment horizontal="left" vertical="center" wrapText="1"/>
    </xf>
    <xf numFmtId="0" fontId="10" fillId="21" borderId="0" xfId="0" applyFont="1" applyFill="1" applyAlignment="1">
      <alignment horizontal="left"/>
    </xf>
    <xf numFmtId="0" fontId="13" fillId="0" borderId="0" xfId="0" applyFont="1" applyAlignment="1">
      <alignment horizontal="left" vertical="center" wrapText="1"/>
    </xf>
    <xf numFmtId="0" fontId="14" fillId="4" borderId="1" xfId="0" applyFont="1" applyFill="1" applyBorder="1" applyAlignment="1">
      <alignment horizontal="left" vertical="center" wrapText="1"/>
    </xf>
    <xf numFmtId="0" fontId="14" fillId="4" borderId="11" xfId="0" applyFont="1" applyFill="1" applyBorder="1" applyAlignment="1">
      <alignment horizontal="left" vertical="center" wrapText="1"/>
    </xf>
    <xf numFmtId="0" fontId="14" fillId="4" borderId="2" xfId="0" applyFont="1" applyFill="1" applyBorder="1" applyAlignment="1">
      <alignment horizontal="left" vertical="center" wrapText="1"/>
    </xf>
    <xf numFmtId="170" fontId="13" fillId="0" borderId="0" xfId="0" applyNumberFormat="1" applyFont="1" applyAlignment="1">
      <alignment horizontal="left" wrapText="1"/>
    </xf>
    <xf numFmtId="0" fontId="13" fillId="0" borderId="9" xfId="0" applyFont="1" applyBorder="1" applyAlignment="1">
      <alignment horizontal="center" vertical="center" wrapText="1"/>
    </xf>
    <xf numFmtId="0" fontId="13" fillId="0" borderId="0" xfId="0" applyFont="1" applyAlignment="1">
      <alignment horizontal="center" vertical="center"/>
    </xf>
    <xf numFmtId="0" fontId="10" fillId="21" borderId="0" xfId="0" applyFont="1" applyFill="1" applyAlignment="1"/>
    <xf numFmtId="0" fontId="14" fillId="4" borderId="1" xfId="0" applyFont="1" applyFill="1" applyBorder="1" applyAlignment="1">
      <alignment vertical="center" wrapText="1"/>
    </xf>
    <xf numFmtId="0" fontId="14" fillId="4" borderId="11" xfId="0" applyFont="1" applyFill="1" applyBorder="1" applyAlignment="1">
      <alignment vertical="center" wrapText="1"/>
    </xf>
    <xf numFmtId="0" fontId="14" fillId="4" borderId="2" xfId="0" applyFont="1" applyFill="1" applyBorder="1" applyAlignment="1">
      <alignment vertical="center" wrapText="1"/>
    </xf>
    <xf numFmtId="0" fontId="10" fillId="15" borderId="0" xfId="0" applyFont="1" applyFill="1" applyAlignment="1">
      <alignment vertical="center"/>
    </xf>
    <xf numFmtId="0" fontId="11" fillId="15" borderId="0" xfId="0" applyFont="1" applyFill="1" applyAlignment="1">
      <alignment vertical="center"/>
    </xf>
    <xf numFmtId="0" fontId="12" fillId="4" borderId="1" xfId="0" applyFont="1" applyFill="1" applyBorder="1" applyAlignment="1">
      <alignment vertical="center" wrapText="1"/>
    </xf>
    <xf numFmtId="0" fontId="12" fillId="4" borderId="11" xfId="0" applyFont="1" applyFill="1" applyBorder="1" applyAlignment="1">
      <alignment vertical="center" wrapText="1"/>
    </xf>
    <xf numFmtId="0" fontId="12" fillId="4" borderId="2" xfId="0" applyFont="1" applyFill="1" applyBorder="1" applyAlignment="1">
      <alignment vertical="center" wrapText="1"/>
    </xf>
    <xf numFmtId="0" fontId="18" fillId="14" borderId="22" xfId="4" applyAlignment="1">
      <alignment horizontal="left" vertical="center"/>
    </xf>
    <xf numFmtId="0" fontId="10" fillId="11" borderId="0" xfId="0" applyFont="1" applyFill="1" applyAlignment="1">
      <alignment horizontal="left" vertical="center" wrapText="1"/>
    </xf>
    <xf numFmtId="0" fontId="15" fillId="4" borderId="12" xfId="0" applyFont="1" applyFill="1" applyBorder="1" applyAlignment="1">
      <alignment horizontal="left" vertical="top" wrapText="1"/>
    </xf>
    <xf numFmtId="0" fontId="15" fillId="4" borderId="13" xfId="0" applyFont="1" applyFill="1" applyBorder="1" applyAlignment="1">
      <alignment horizontal="left" vertical="top" wrapText="1"/>
    </xf>
    <xf numFmtId="0" fontId="15" fillId="4" borderId="14" xfId="0" applyFont="1" applyFill="1" applyBorder="1" applyAlignment="1">
      <alignment horizontal="left" vertical="top" wrapText="1"/>
    </xf>
    <xf numFmtId="0" fontId="15" fillId="4" borderId="3" xfId="0" applyFont="1" applyFill="1" applyBorder="1" applyAlignment="1">
      <alignment horizontal="left" vertical="top" wrapText="1"/>
    </xf>
    <xf numFmtId="0" fontId="15" fillId="4" borderId="0" xfId="0" applyFont="1" applyFill="1" applyAlignment="1">
      <alignment horizontal="left" vertical="top" wrapText="1"/>
    </xf>
    <xf numFmtId="0" fontId="15" fillId="4" borderId="4" xfId="0" applyFont="1" applyFill="1" applyBorder="1" applyAlignment="1">
      <alignment horizontal="left" vertical="top" wrapText="1"/>
    </xf>
    <xf numFmtId="0" fontId="15" fillId="4" borderId="5" xfId="0" applyFont="1" applyFill="1" applyBorder="1" applyAlignment="1">
      <alignment horizontal="left" vertical="top" wrapText="1"/>
    </xf>
    <xf numFmtId="0" fontId="15" fillId="4" borderId="6" xfId="0" applyFont="1" applyFill="1" applyBorder="1" applyAlignment="1">
      <alignment horizontal="left" vertical="top" wrapText="1"/>
    </xf>
    <xf numFmtId="0" fontId="15" fillId="4" borderId="7" xfId="0" applyFont="1" applyFill="1" applyBorder="1" applyAlignment="1">
      <alignment horizontal="left" vertical="top" wrapText="1"/>
    </xf>
    <xf numFmtId="0" fontId="36" fillId="14" borderId="26" xfId="4" applyFont="1" applyBorder="1" applyAlignment="1">
      <alignment vertical="center" wrapText="1"/>
    </xf>
    <xf numFmtId="0" fontId="36" fillId="14" borderId="27" xfId="4" applyFont="1" applyBorder="1" applyAlignment="1">
      <alignment vertical="center" wrapText="1"/>
    </xf>
    <xf numFmtId="0" fontId="36" fillId="14" borderId="28" xfId="4" applyFont="1" applyBorder="1" applyAlignment="1">
      <alignment vertical="center" wrapText="1"/>
    </xf>
    <xf numFmtId="0" fontId="18" fillId="14" borderId="26" xfId="4" applyBorder="1" applyAlignment="1">
      <alignment vertical="center"/>
    </xf>
    <xf numFmtId="0" fontId="18" fillId="14" borderId="27" xfId="4" applyBorder="1" applyAlignment="1">
      <alignment vertical="center"/>
    </xf>
    <xf numFmtId="0" fontId="18" fillId="14" borderId="28" xfId="4" applyBorder="1" applyAlignment="1">
      <alignment vertical="center"/>
    </xf>
    <xf numFmtId="0" fontId="14" fillId="0" borderId="1" xfId="0" applyFont="1" applyBorder="1" applyAlignment="1">
      <alignment horizontal="left" vertical="center" wrapText="1"/>
    </xf>
    <xf numFmtId="0" fontId="14" fillId="0" borderId="11" xfId="0" applyFont="1" applyBorder="1" applyAlignment="1">
      <alignment horizontal="left" vertical="center" wrapText="1"/>
    </xf>
    <xf numFmtId="0" fontId="14" fillId="0" borderId="2" xfId="0" applyFont="1" applyBorder="1" applyAlignment="1">
      <alignment horizontal="left" vertical="center" wrapText="1"/>
    </xf>
    <xf numFmtId="0" fontId="10" fillId="2" borderId="0" xfId="0" applyFont="1" applyFill="1" applyAlignment="1">
      <alignment vertical="center"/>
    </xf>
    <xf numFmtId="0" fontId="11" fillId="2" borderId="0" xfId="0" applyFont="1" applyFill="1" applyAlignment="1">
      <alignment vertical="center"/>
    </xf>
    <xf numFmtId="0" fontId="10" fillId="11" borderId="0" xfId="0" applyFont="1" applyFill="1" applyAlignment="1">
      <alignment horizontal="left"/>
    </xf>
    <xf numFmtId="0" fontId="15" fillId="4" borderId="12" xfId="0" applyFont="1" applyFill="1" applyBorder="1" applyAlignment="1">
      <alignment horizontal="left" vertical="center" wrapText="1"/>
    </xf>
    <xf numFmtId="0" fontId="15" fillId="4" borderId="13" xfId="0" applyFont="1" applyFill="1" applyBorder="1" applyAlignment="1">
      <alignment horizontal="left" vertical="center" wrapText="1"/>
    </xf>
    <xf numFmtId="0" fontId="15" fillId="4" borderId="14" xfId="0" applyFont="1" applyFill="1" applyBorder="1" applyAlignment="1">
      <alignment horizontal="left" vertical="center" wrapText="1"/>
    </xf>
    <xf numFmtId="0" fontId="15" fillId="4" borderId="3" xfId="0" applyFont="1" applyFill="1" applyBorder="1" applyAlignment="1">
      <alignment horizontal="left" vertical="center" wrapText="1"/>
    </xf>
    <xf numFmtId="0" fontId="15" fillId="4" borderId="0" xfId="0" applyFont="1" applyFill="1" applyAlignment="1">
      <alignment horizontal="left" vertical="center" wrapText="1"/>
    </xf>
    <xf numFmtId="0" fontId="15" fillId="4" borderId="4" xfId="0" applyFont="1" applyFill="1" applyBorder="1" applyAlignment="1">
      <alignment horizontal="left" vertical="center" wrapText="1"/>
    </xf>
    <xf numFmtId="0" fontId="15" fillId="4" borderId="5" xfId="0" applyFont="1" applyFill="1" applyBorder="1" applyAlignment="1">
      <alignment horizontal="left" vertical="center" wrapText="1"/>
    </xf>
    <xf numFmtId="0" fontId="15" fillId="4" borderId="6" xfId="0" applyFont="1" applyFill="1" applyBorder="1" applyAlignment="1">
      <alignment horizontal="left" vertical="center" wrapText="1"/>
    </xf>
    <xf numFmtId="0" fontId="15" fillId="4" borderId="7" xfId="0" applyFont="1" applyFill="1" applyBorder="1" applyAlignment="1">
      <alignment horizontal="left" vertical="center" wrapText="1"/>
    </xf>
    <xf numFmtId="0" fontId="10" fillId="2" borderId="0" xfId="0" applyFont="1" applyFill="1" applyAlignment="1">
      <alignment vertical="center" wrapText="1"/>
    </xf>
    <xf numFmtId="0" fontId="11" fillId="2" borderId="0" xfId="0" applyFont="1" applyFill="1" applyAlignment="1">
      <alignment vertical="center" wrapText="1"/>
    </xf>
    <xf numFmtId="0" fontId="10" fillId="2" borderId="0" xfId="0" applyFont="1" applyFill="1" applyAlignment="1">
      <alignment horizontal="left" wrapText="1"/>
    </xf>
    <xf numFmtId="0" fontId="3" fillId="0" borderId="0" xfId="0" applyFont="1" applyAlignment="1">
      <alignment horizontal="left" wrapText="1"/>
    </xf>
    <xf numFmtId="0" fontId="6" fillId="11" borderId="0" xfId="0" applyFont="1" applyFill="1" applyAlignment="1"/>
    <xf numFmtId="0" fontId="7" fillId="11" borderId="0" xfId="0" applyFont="1" applyFill="1" applyAlignment="1"/>
    <xf numFmtId="0" fontId="3" fillId="4" borderId="12" xfId="0" applyFont="1" applyFill="1" applyBorder="1" applyAlignment="1">
      <alignment horizontal="left" vertical="center" wrapText="1"/>
    </xf>
    <xf numFmtId="0" fontId="3" fillId="4" borderId="13"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6" xfId="0" applyFont="1" applyFill="1" applyBorder="1" applyAlignment="1">
      <alignment horizontal="left" vertical="center" wrapText="1"/>
    </xf>
    <xf numFmtId="0" fontId="3" fillId="4" borderId="7" xfId="0" applyFont="1" applyFill="1" applyBorder="1" applyAlignment="1">
      <alignment horizontal="left" vertical="center" wrapText="1"/>
    </xf>
    <xf numFmtId="0" fontId="4" fillId="0" borderId="1" xfId="0" applyFont="1" applyBorder="1" applyAlignment="1">
      <alignment horizontal="center"/>
    </xf>
    <xf numFmtId="0" fontId="4" fillId="0" borderId="11" xfId="0" applyFont="1" applyBorder="1" applyAlignment="1">
      <alignment horizontal="center"/>
    </xf>
    <xf numFmtId="0" fontId="4" fillId="0" borderId="2" xfId="0" applyFont="1" applyBorder="1" applyAlignment="1">
      <alignment horizontal="center"/>
    </xf>
    <xf numFmtId="0" fontId="4" fillId="0" borderId="1" xfId="0" applyFont="1" applyBorder="1" applyAlignment="1">
      <alignment horizontal="center" wrapText="1"/>
    </xf>
    <xf numFmtId="0" fontId="4" fillId="0" borderId="11" xfId="0" applyFont="1" applyBorder="1" applyAlignment="1">
      <alignment horizontal="center" wrapText="1"/>
    </xf>
    <xf numFmtId="0" fontId="4" fillId="0" borderId="2" xfId="0" applyFont="1" applyBorder="1" applyAlignment="1">
      <alignment horizontal="center" wrapText="1"/>
    </xf>
    <xf numFmtId="0" fontId="4" fillId="0" borderId="17" xfId="0" applyFont="1" applyBorder="1" applyAlignment="1">
      <alignment horizontal="left"/>
    </xf>
    <xf numFmtId="0" fontId="10" fillId="11" borderId="0" xfId="0" applyFont="1" applyFill="1" applyAlignment="1"/>
    <xf numFmtId="0" fontId="11" fillId="11" borderId="0" xfId="0" applyFont="1" applyFill="1" applyAlignment="1"/>
    <xf numFmtId="0" fontId="13" fillId="0" borderId="0" xfId="0" applyFont="1" applyAlignment="1">
      <alignment vertical="center" wrapText="1"/>
    </xf>
    <xf numFmtId="0" fontId="13" fillId="0" borderId="0" xfId="0" applyFont="1" applyAlignment="1">
      <alignment horizontal="left"/>
    </xf>
    <xf numFmtId="0" fontId="18" fillId="17" borderId="0" xfId="6" applyFont="1" applyBorder="1" applyAlignment="1">
      <alignment horizontal="left" vertical="center" wrapText="1"/>
    </xf>
    <xf numFmtId="0" fontId="14" fillId="4" borderId="1" xfId="0" applyFont="1" applyFill="1" applyBorder="1" applyAlignment="1">
      <alignment vertical="top" wrapText="1"/>
    </xf>
    <xf numFmtId="0" fontId="14" fillId="4" borderId="11" xfId="0" applyFont="1" applyFill="1" applyBorder="1" applyAlignment="1">
      <alignment vertical="top" wrapText="1"/>
    </xf>
    <xf numFmtId="0" fontId="14" fillId="4" borderId="2" xfId="0" applyFont="1" applyFill="1" applyBorder="1" applyAlignment="1">
      <alignment vertical="top" wrapText="1"/>
    </xf>
    <xf numFmtId="0" fontId="10" fillId="11" borderId="0" xfId="0" applyFont="1" applyFill="1" applyAlignment="1">
      <alignment vertical="center"/>
    </xf>
    <xf numFmtId="0" fontId="11" fillId="11" borderId="0" xfId="0" applyFont="1" applyFill="1" applyAlignment="1">
      <alignment vertical="center"/>
    </xf>
    <xf numFmtId="0" fontId="35" fillId="0" borderId="1" xfId="0" applyFont="1" applyBorder="1" applyAlignment="1">
      <alignment horizontal="left" vertical="center" wrapText="1"/>
    </xf>
    <xf numFmtId="0" fontId="35" fillId="0" borderId="11" xfId="0" applyFont="1" applyBorder="1" applyAlignment="1">
      <alignment horizontal="left" vertical="center" wrapText="1"/>
    </xf>
    <xf numFmtId="0" fontId="35" fillId="0" borderId="2" xfId="0" applyFont="1" applyBorder="1" applyAlignment="1">
      <alignment horizontal="left" vertical="center" wrapText="1"/>
    </xf>
    <xf numFmtId="0" fontId="0" fillId="0" borderId="4" xfId="0" applyBorder="1" applyAlignment="1">
      <alignment horizontal="center" textRotation="90" wrapText="1"/>
    </xf>
    <xf numFmtId="0" fontId="29" fillId="0" borderId="12" xfId="0" applyFont="1" applyBorder="1" applyAlignment="1">
      <alignment horizontal="left" vertical="center"/>
    </xf>
    <xf numFmtId="0" fontId="29" fillId="0" borderId="3" xfId="0" applyFont="1" applyBorder="1" applyAlignment="1">
      <alignment horizontal="left" vertical="center"/>
    </xf>
    <xf numFmtId="0" fontId="29" fillId="0" borderId="5" xfId="0" applyFont="1" applyBorder="1" applyAlignment="1">
      <alignment horizontal="left" vertical="center"/>
    </xf>
    <xf numFmtId="0" fontId="0" fillId="0" borderId="0" xfId="0" applyAlignment="1">
      <alignment horizontal="left" vertical="top" wrapText="1"/>
    </xf>
    <xf numFmtId="0" fontId="33" fillId="0" borderId="3" xfId="0" applyFont="1" applyBorder="1" applyAlignment="1">
      <alignment horizontal="left" vertical="top" wrapText="1"/>
    </xf>
    <xf numFmtId="0" fontId="12" fillId="4" borderId="12" xfId="0" applyFont="1" applyFill="1" applyBorder="1" applyAlignment="1">
      <alignment horizontal="left" vertical="center" wrapText="1"/>
    </xf>
    <xf numFmtId="0" fontId="12" fillId="4" borderId="13" xfId="0" applyFont="1" applyFill="1" applyBorder="1" applyAlignment="1">
      <alignment horizontal="left" vertical="center" wrapText="1"/>
    </xf>
    <xf numFmtId="0" fontId="12" fillId="4" borderId="14" xfId="0" applyFont="1" applyFill="1" applyBorder="1" applyAlignment="1">
      <alignment horizontal="left" vertical="center" wrapText="1"/>
    </xf>
    <xf numFmtId="0" fontId="12" fillId="4" borderId="3" xfId="0" applyFont="1" applyFill="1" applyBorder="1" applyAlignment="1">
      <alignment horizontal="left" vertical="center" wrapText="1"/>
    </xf>
    <xf numFmtId="0" fontId="12" fillId="4" borderId="0" xfId="0" applyFont="1" applyFill="1" applyAlignment="1">
      <alignment horizontal="left" vertical="center" wrapText="1"/>
    </xf>
    <xf numFmtId="0" fontId="12" fillId="4" borderId="4" xfId="0" applyFont="1" applyFill="1" applyBorder="1" applyAlignment="1">
      <alignment horizontal="left" vertical="center" wrapText="1"/>
    </xf>
    <xf numFmtId="0" fontId="12" fillId="4" borderId="5" xfId="0" applyFont="1" applyFill="1" applyBorder="1" applyAlignment="1">
      <alignment horizontal="left" vertical="center" wrapText="1"/>
    </xf>
    <xf numFmtId="0" fontId="12" fillId="4" borderId="6" xfId="0" applyFont="1" applyFill="1" applyBorder="1" applyAlignment="1">
      <alignment horizontal="left" vertical="center" wrapText="1"/>
    </xf>
    <xf numFmtId="0" fontId="12" fillId="4" borderId="7" xfId="0" applyFont="1" applyFill="1" applyBorder="1" applyAlignment="1">
      <alignment horizontal="left" vertical="center" wrapText="1"/>
    </xf>
    <xf numFmtId="0" fontId="6" fillId="13" borderId="0" xfId="0" applyFont="1" applyFill="1" applyAlignment="1">
      <alignment vertical="center"/>
    </xf>
    <xf numFmtId="0" fontId="7" fillId="13" borderId="0" xfId="0" applyFont="1" applyFill="1" applyAlignment="1">
      <alignment vertical="center"/>
    </xf>
    <xf numFmtId="0" fontId="8" fillId="4" borderId="12" xfId="0" applyFont="1" applyFill="1" applyBorder="1" applyAlignment="1">
      <alignment horizontal="left" vertical="center" wrapText="1"/>
    </xf>
    <xf numFmtId="0" fontId="8" fillId="4" borderId="13" xfId="0" applyFont="1" applyFill="1" applyBorder="1" applyAlignment="1">
      <alignment horizontal="left" vertical="center" wrapText="1"/>
    </xf>
    <xf numFmtId="0" fontId="8" fillId="4" borderId="14" xfId="0" applyFont="1" applyFill="1" applyBorder="1" applyAlignment="1">
      <alignment horizontal="left" vertical="center" wrapText="1"/>
    </xf>
    <xf numFmtId="0" fontId="8" fillId="4" borderId="5" xfId="0" applyFont="1" applyFill="1" applyBorder="1" applyAlignment="1">
      <alignment horizontal="left" vertical="center" wrapText="1"/>
    </xf>
    <xf numFmtId="0" fontId="8" fillId="4" borderId="6" xfId="0" applyFont="1" applyFill="1" applyBorder="1" applyAlignment="1">
      <alignment horizontal="left" vertical="center" wrapText="1"/>
    </xf>
    <xf numFmtId="0" fontId="8" fillId="4" borderId="7" xfId="0" applyFont="1" applyFill="1" applyBorder="1" applyAlignment="1">
      <alignment horizontal="left" vertical="center" wrapText="1"/>
    </xf>
    <xf numFmtId="0" fontId="4" fillId="0" borderId="8" xfId="0" applyFont="1" applyBorder="1" applyAlignment="1">
      <alignment horizontal="left" vertical="center"/>
    </xf>
    <xf numFmtId="0" fontId="4" fillId="0" borderId="17" xfId="0" applyFont="1" applyBorder="1" applyAlignment="1">
      <alignment horizontal="left" vertical="center"/>
    </xf>
    <xf numFmtId="0" fontId="14" fillId="0" borderId="1" xfId="0" applyFont="1" applyFill="1" applyBorder="1" applyAlignment="1">
      <alignment horizontal="left" vertical="center" wrapText="1"/>
    </xf>
    <xf numFmtId="0" fontId="14" fillId="0" borderId="11" xfId="0" applyFont="1" applyFill="1" applyBorder="1" applyAlignment="1">
      <alignment horizontal="left" vertical="center" wrapText="1"/>
    </xf>
    <xf numFmtId="0" fontId="14" fillId="0" borderId="2" xfId="0" applyFont="1" applyFill="1" applyBorder="1" applyAlignment="1">
      <alignment horizontal="left" vertical="center" wrapText="1"/>
    </xf>
    <xf numFmtId="0" fontId="10" fillId="20" borderId="0" xfId="0" applyFont="1" applyFill="1" applyAlignment="1"/>
    <xf numFmtId="0" fontId="11" fillId="20" borderId="0" xfId="0" applyFont="1" applyFill="1" applyAlignment="1"/>
    <xf numFmtId="0" fontId="13" fillId="6" borderId="5" xfId="0" applyFont="1" applyFill="1" applyBorder="1" applyAlignment="1">
      <alignment horizontal="center"/>
    </xf>
    <xf numFmtId="0" fontId="13" fillId="6" borderId="6" xfId="0" applyFont="1" applyFill="1" applyBorder="1" applyAlignment="1">
      <alignment horizontal="center"/>
    </xf>
    <xf numFmtId="0" fontId="13" fillId="6" borderId="7" xfId="0" applyFont="1" applyFill="1" applyBorder="1" applyAlignment="1">
      <alignment horizontal="center"/>
    </xf>
    <xf numFmtId="0" fontId="13" fillId="0" borderId="8" xfId="0" applyFont="1" applyBorder="1" applyAlignment="1">
      <alignment horizontal="left"/>
    </xf>
    <xf numFmtId="170" fontId="13" fillId="0" borderId="0" xfId="0" applyNumberFormat="1" applyFont="1" applyAlignment="1">
      <alignment horizontal="left" vertical="center"/>
    </xf>
    <xf numFmtId="0" fontId="10" fillId="22" borderId="0" xfId="0" applyFont="1" applyFill="1" applyAlignment="1">
      <alignment horizontal="left"/>
    </xf>
    <xf numFmtId="0" fontId="15" fillId="4" borderId="1" xfId="0" applyFont="1" applyFill="1" applyBorder="1" applyAlignment="1">
      <alignment horizontal="left" vertical="center" wrapText="1"/>
    </xf>
    <xf numFmtId="0" fontId="15" fillId="4" borderId="11" xfId="0" applyFont="1" applyFill="1" applyBorder="1" applyAlignment="1">
      <alignment horizontal="left" vertical="center" wrapText="1"/>
    </xf>
    <xf numFmtId="0" fontId="15" fillId="4" borderId="2" xfId="0" applyFont="1" applyFill="1" applyBorder="1" applyAlignment="1">
      <alignment horizontal="left" vertical="center" wrapText="1"/>
    </xf>
  </cellXfs>
  <cellStyles count="11">
    <cellStyle name="Calculation" xfId="5" builtinId="22" customBuiltin="1"/>
    <cellStyle name="Comma" xfId="2" builtinId="3"/>
    <cellStyle name="Currency" xfId="1" builtinId="4"/>
    <cellStyle name="Currency 2" xfId="10" xr:uid="{853E3CEC-5C2C-4922-8618-BCDA7790A2AF}"/>
    <cellStyle name="Explanatory Text" xfId="8" builtinId="53"/>
    <cellStyle name="Input" xfId="4" builtinId="20" customBuiltin="1"/>
    <cellStyle name="Linked Cell" xfId="7" builtinId="24" customBuiltin="1"/>
    <cellStyle name="Normal" xfId="0" builtinId="0" customBuiltin="1"/>
    <cellStyle name="Normal 2" xfId="9" xr:uid="{F494E1F8-B552-4437-B0C3-5795113A357F}"/>
    <cellStyle name="Note" xfId="6" builtinId="10"/>
    <cellStyle name="Percent" xfId="3" builtinId="5"/>
  </cellStyles>
  <dxfs count="818">
    <dxf>
      <font>
        <b val="0"/>
        <i val="0"/>
        <strike val="0"/>
        <condense val="0"/>
        <extend val="0"/>
        <outline val="0"/>
        <shadow val="0"/>
        <u val="none"/>
        <vertAlign val="baseline"/>
        <sz val="10"/>
        <color theme="1"/>
        <name val="ArialMT"/>
        <scheme val="none"/>
      </font>
      <numFmt numFmtId="0" formatCode="General"/>
    </dxf>
    <dxf>
      <font>
        <b val="0"/>
        <i val="0"/>
        <strike val="0"/>
        <condense val="0"/>
        <extend val="0"/>
        <outline val="0"/>
        <shadow val="0"/>
        <u val="none"/>
        <vertAlign val="baseline"/>
        <sz val="10"/>
        <color theme="1"/>
        <name val="ArialMT"/>
        <scheme val="none"/>
      </font>
    </dxf>
    <dxf>
      <font>
        <b val="0"/>
        <i val="0"/>
        <strike val="0"/>
        <condense val="0"/>
        <extend val="0"/>
        <outline val="0"/>
        <shadow val="0"/>
        <u val="none"/>
        <vertAlign val="baseline"/>
        <sz val="10"/>
        <color theme="1"/>
        <name val="ArialMT"/>
        <scheme val="none"/>
      </font>
    </dxf>
    <dxf>
      <font>
        <b val="0"/>
        <i val="0"/>
        <strike val="0"/>
        <condense val="0"/>
        <extend val="0"/>
        <outline val="0"/>
        <shadow val="0"/>
        <u val="none"/>
        <vertAlign val="baseline"/>
        <sz val="10"/>
        <color theme="1"/>
        <name val="ArialMT"/>
        <scheme val="none"/>
      </font>
    </dxf>
    <dxf>
      <font>
        <b val="0"/>
        <i val="0"/>
        <strike val="0"/>
        <condense val="0"/>
        <extend val="0"/>
        <outline val="0"/>
        <shadow val="0"/>
        <u val="none"/>
        <vertAlign val="baseline"/>
        <sz val="10"/>
        <color theme="1"/>
        <name val="ArialMT"/>
        <scheme val="none"/>
      </font>
      <numFmt numFmtId="34" formatCode="_(&quot;$&quot;* #,##0.00_);_(&quot;$&quot;* \(#,##0.00\);_(&quot;$&quot;* &quot;-&quot;??_);_(@_)"/>
    </dxf>
    <dxf>
      <font>
        <b val="0"/>
        <i val="0"/>
        <strike val="0"/>
        <condense val="0"/>
        <extend val="0"/>
        <outline val="0"/>
        <shadow val="0"/>
        <u val="none"/>
        <vertAlign val="baseline"/>
        <sz val="10"/>
        <color theme="1"/>
        <name val="ArialMT"/>
        <scheme val="none"/>
      </font>
      <numFmt numFmtId="34" formatCode="_(&quot;$&quot;* #,##0.00_);_(&quot;$&quot;* \(#,##0.00\);_(&quot;$&quot;* &quot;-&quot;??_);_(@_)"/>
    </dxf>
    <dxf>
      <font>
        <b val="0"/>
        <i val="0"/>
        <strike val="0"/>
        <condense val="0"/>
        <extend val="0"/>
        <outline val="0"/>
        <shadow val="0"/>
        <u val="none"/>
        <vertAlign val="baseline"/>
        <sz val="10"/>
        <color theme="1"/>
        <name val="ArialMT"/>
        <scheme val="none"/>
      </font>
    </dxf>
    <dxf>
      <font>
        <b val="0"/>
        <i val="0"/>
        <strike val="0"/>
        <condense val="0"/>
        <extend val="0"/>
        <outline val="0"/>
        <shadow val="0"/>
        <u val="none"/>
        <vertAlign val="baseline"/>
        <sz val="11"/>
        <color theme="1"/>
        <name val="Segoe UI"/>
        <family val="2"/>
        <scheme val="none"/>
      </font>
      <numFmt numFmtId="171" formatCode="_(&quot;$&quot;* #,##0.0000_);_(&quot;$&quot;* \(#,##0.0000\);_(&quot;$&quot;* &quot;-&quot;??_);_(@_)"/>
    </dxf>
    <dxf>
      <font>
        <b val="0"/>
        <i val="0"/>
        <strike val="0"/>
        <condense val="0"/>
        <extend val="0"/>
        <outline val="0"/>
        <shadow val="0"/>
        <u val="none"/>
        <vertAlign val="baseline"/>
        <sz val="11"/>
        <color theme="1"/>
        <name val="Segoe UI"/>
        <family val="2"/>
        <scheme val="none"/>
      </font>
      <numFmt numFmtId="171" formatCode="_(&quot;$&quot;* #,##0.0000_);_(&quot;$&quot;* \(#,##0.0000\);_(&quot;$&quot;* &quot;-&quot;??_);_(@_)"/>
    </dxf>
    <dxf>
      <font>
        <b val="0"/>
        <i val="0"/>
        <strike val="0"/>
        <condense val="0"/>
        <extend val="0"/>
        <outline val="0"/>
        <shadow val="0"/>
        <u val="none"/>
        <vertAlign val="baseline"/>
        <sz val="11"/>
        <color theme="1"/>
        <name val="Segoe UI"/>
        <family val="2"/>
        <scheme val="none"/>
      </font>
      <numFmt numFmtId="34" formatCode="_(&quot;$&quot;* #,##0.00_);_(&quot;$&quot;* \(#,##0.00\);_(&quot;$&quot;* &quot;-&quot;??_);_(@_)"/>
    </dxf>
    <dxf>
      <font>
        <b val="0"/>
        <i val="0"/>
        <strike val="0"/>
        <condense val="0"/>
        <extend val="0"/>
        <outline val="0"/>
        <shadow val="0"/>
        <u val="none"/>
        <vertAlign val="baseline"/>
        <sz val="11"/>
        <color theme="1"/>
        <name val="Segoe UI"/>
        <family val="2"/>
        <scheme val="none"/>
      </font>
    </dxf>
    <dxf>
      <font>
        <b val="0"/>
        <i val="0"/>
        <strike val="0"/>
        <condense val="0"/>
        <extend val="0"/>
        <outline val="0"/>
        <shadow val="0"/>
        <u val="none"/>
        <vertAlign val="baseline"/>
        <sz val="11"/>
        <color theme="1"/>
        <name val="Segoe UI"/>
        <family val="2"/>
        <scheme val="none"/>
      </font>
    </dxf>
    <dxf>
      <font>
        <b val="0"/>
        <i val="0"/>
        <strike val="0"/>
        <condense val="0"/>
        <extend val="0"/>
        <outline val="0"/>
        <shadow val="0"/>
        <u val="none"/>
        <vertAlign val="baseline"/>
        <sz val="11"/>
        <color theme="1"/>
        <name val="Segoe UI"/>
        <family val="2"/>
        <scheme val="none"/>
      </font>
    </dxf>
    <dxf>
      <numFmt numFmtId="2" formatCode="0.00"/>
    </dxf>
    <dxf>
      <font>
        <b val="0"/>
        <i val="0"/>
        <strike val="0"/>
        <condense val="0"/>
        <extend val="0"/>
        <outline val="0"/>
        <shadow val="0"/>
        <u val="none"/>
        <vertAlign val="baseline"/>
        <sz val="11"/>
        <color theme="1"/>
        <name val="Segoe UI"/>
        <family val="2"/>
        <scheme val="none"/>
      </font>
    </dxf>
    <dxf>
      <font>
        <b val="0"/>
        <i val="0"/>
        <strike val="0"/>
        <condense val="0"/>
        <extend val="0"/>
        <outline val="0"/>
        <shadow val="0"/>
        <u val="none"/>
        <vertAlign val="baseline"/>
        <sz val="11"/>
        <color theme="1"/>
        <name val="Segoe UI"/>
        <family val="2"/>
        <scheme val="none"/>
      </font>
    </dxf>
    <dxf>
      <font>
        <b val="0"/>
        <i val="0"/>
        <strike val="0"/>
        <condense val="0"/>
        <extend val="0"/>
        <outline val="0"/>
        <shadow val="0"/>
        <u val="none"/>
        <vertAlign val="baseline"/>
        <sz val="10"/>
        <color theme="1"/>
        <name val="ArialMT"/>
        <scheme val="none"/>
      </font>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numFmt numFmtId="34" formatCode="_(&quot;$&quot;* #,##0.00_);_(&quot;$&quot;* \(#,##0.00\);_(&quot;$&quot;* &quot;-&quot;??_);_(@_)"/>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alignment horizontal="general" vertical="center" textRotation="0" wrapText="1" indent="0" justifyLastLine="0" shrinkToFit="0" readingOrder="0"/>
    </dxf>
    <dxf>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dxf>
    <dxf>
      <font>
        <b val="0"/>
        <i val="0"/>
        <strike val="0"/>
        <condense val="0"/>
        <extend val="0"/>
        <outline val="0"/>
        <shadow val="0"/>
        <u val="none"/>
        <vertAlign val="baseline"/>
        <sz val="10"/>
        <color theme="1"/>
        <name val="ArialMT"/>
        <scheme val="none"/>
      </font>
    </dxf>
    <dxf>
      <font>
        <b val="0"/>
        <i val="0"/>
        <strike val="0"/>
        <condense val="0"/>
        <extend val="0"/>
        <outline val="0"/>
        <shadow val="0"/>
        <u val="none"/>
        <vertAlign val="baseline"/>
        <sz val="10"/>
        <color theme="1"/>
        <name val="ArialMT"/>
        <scheme val="none"/>
      </font>
    </dxf>
    <dxf>
      <font>
        <b val="0"/>
        <i val="0"/>
        <strike val="0"/>
        <condense val="0"/>
        <extend val="0"/>
        <outline val="0"/>
        <shadow val="0"/>
        <u val="none"/>
        <vertAlign val="baseline"/>
        <sz val="10"/>
        <color theme="1"/>
        <name val="ArialMT"/>
        <scheme val="none"/>
      </font>
    </dxf>
    <dxf>
      <font>
        <b val="0"/>
        <i val="0"/>
        <strike val="0"/>
        <condense val="0"/>
        <extend val="0"/>
        <outline val="0"/>
        <shadow val="0"/>
        <u val="none"/>
        <vertAlign val="baseline"/>
        <sz val="10"/>
        <color theme="1"/>
        <name val="ArialMT"/>
        <scheme val="none"/>
      </font>
    </dxf>
    <dxf>
      <font>
        <b val="0"/>
        <i val="0"/>
        <strike val="0"/>
        <condense val="0"/>
        <extend val="0"/>
        <outline val="0"/>
        <shadow val="0"/>
        <u val="none"/>
        <vertAlign val="baseline"/>
        <sz val="10"/>
        <color theme="1"/>
        <name val="ArialMT"/>
        <scheme val="none"/>
      </font>
    </dxf>
    <dxf>
      <font>
        <b val="0"/>
        <i val="0"/>
        <strike val="0"/>
        <condense val="0"/>
        <extend val="0"/>
        <outline val="0"/>
        <shadow val="0"/>
        <u val="none"/>
        <vertAlign val="baseline"/>
        <sz val="10"/>
        <color rgb="FF000000"/>
        <name val="ArialMT"/>
        <scheme val="none"/>
      </font>
    </dxf>
    <dxf>
      <font>
        <b val="0"/>
        <i val="0"/>
        <strike val="0"/>
        <condense val="0"/>
        <extend val="0"/>
        <outline val="0"/>
        <shadow val="0"/>
        <u val="none"/>
        <vertAlign val="baseline"/>
        <sz val="10"/>
        <color theme="1"/>
        <name val="ArialMT"/>
        <scheme val="none"/>
      </font>
    </dxf>
    <dxf>
      <font>
        <b val="0"/>
        <i val="0"/>
        <strike val="0"/>
        <condense val="0"/>
        <extend val="0"/>
        <outline val="0"/>
        <shadow val="0"/>
        <u val="none"/>
        <vertAlign val="baseline"/>
        <sz val="10"/>
        <color theme="1"/>
        <name val="ArialMT"/>
        <scheme val="none"/>
      </font>
      <numFmt numFmtId="34" formatCode="_(&quot;$&quot;* #,##0.00_);_(&quot;$&quot;* \(#,##0.00\);_(&quot;$&quot;* &quot;-&quot;??_);_(@_)"/>
      <alignment horizontal="left" vertical="center" textRotation="0" wrapText="1" indent="0" justifyLastLine="0" shrinkToFit="0" readingOrder="0"/>
    </dxf>
    <dxf>
      <font>
        <b val="0"/>
        <i val="0"/>
        <strike val="0"/>
        <condense val="0"/>
        <extend val="0"/>
        <outline val="0"/>
        <shadow val="0"/>
        <u val="none"/>
        <vertAlign val="baseline"/>
        <sz val="10"/>
        <color theme="1"/>
        <name val="ArialMT"/>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MT"/>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MT"/>
        <scheme val="none"/>
      </font>
      <numFmt numFmtId="34" formatCode="_(&quot;$&quot;* #,##0.00_);_(&quot;$&quot;* \(#,##0.00\);_(&quot;$&quot;* &quot;-&quot;??_);_(@_)"/>
      <alignment horizontal="center" vertical="center" textRotation="0" wrapText="1" indent="0" justifyLastLine="0" shrinkToFit="0" readingOrder="0"/>
    </dxf>
    <dxf>
      <font>
        <b val="0"/>
        <i val="0"/>
        <strike val="0"/>
        <condense val="0"/>
        <extend val="0"/>
        <outline val="0"/>
        <shadow val="0"/>
        <u val="none"/>
        <vertAlign val="baseline"/>
        <sz val="10"/>
        <color theme="1"/>
        <name val="ArialMT"/>
        <scheme val="none"/>
      </font>
      <numFmt numFmtId="0" formatCode="General"/>
      <alignment horizontal="left" vertical="center" textRotation="0" wrapText="1" indent="0" justifyLastLine="0" shrinkToFit="0" readingOrder="0"/>
    </dxf>
    <dxf>
      <font>
        <b val="0"/>
        <i val="0"/>
        <strike val="0"/>
        <condense val="0"/>
        <extend val="0"/>
        <outline val="0"/>
        <shadow val="0"/>
        <u val="none"/>
        <vertAlign val="baseline"/>
        <sz val="10"/>
        <color theme="1"/>
        <name val="ArialMT"/>
        <scheme val="none"/>
      </font>
      <numFmt numFmtId="0" formatCode="General"/>
      <alignment horizontal="center" vertical="center" textRotation="0" wrapText="1" indent="0" justifyLastLine="0" shrinkToFit="0" readingOrder="0"/>
    </dxf>
    <dxf>
      <font>
        <b val="0"/>
        <i val="0"/>
        <strike val="0"/>
        <condense val="0"/>
        <extend val="0"/>
        <outline val="0"/>
        <shadow val="0"/>
        <u val="none"/>
        <vertAlign val="baseline"/>
        <sz val="10"/>
        <color theme="1"/>
        <name val="ArialMT"/>
        <scheme val="none"/>
      </font>
      <alignment horizontal="center" vertical="center" textRotation="0" wrapText="1" indent="0" justifyLastLine="0" shrinkToFit="0" readingOrder="0"/>
    </dxf>
    <dxf>
      <font>
        <b val="0"/>
        <i val="0"/>
        <strike val="0"/>
        <condense val="0"/>
        <extend val="0"/>
        <outline val="0"/>
        <shadow val="0"/>
        <u val="none"/>
        <vertAlign val="baseline"/>
        <sz val="10"/>
        <color theme="1"/>
        <name val="ArialMT"/>
        <scheme val="none"/>
      </font>
      <alignment horizontal="center" vertical="center" textRotation="0" wrapText="1" indent="0" justifyLastLine="0" shrinkToFit="0" readingOrder="0"/>
    </dxf>
    <dxf>
      <font>
        <b val="0"/>
        <i val="0"/>
        <strike val="0"/>
        <condense val="0"/>
        <extend val="0"/>
        <outline val="0"/>
        <shadow val="0"/>
        <u val="none"/>
        <vertAlign val="baseline"/>
        <sz val="10"/>
        <color theme="1"/>
        <name val="ArialMT"/>
        <scheme val="none"/>
      </font>
      <alignment horizontal="center" vertical="center" textRotation="0" wrapText="1" indent="0" justifyLastLine="0" shrinkToFit="0" readingOrder="0"/>
    </dxf>
    <dxf>
      <font>
        <b val="0"/>
        <i val="0"/>
        <strike val="0"/>
        <condense val="0"/>
        <extend val="0"/>
        <outline val="0"/>
        <shadow val="0"/>
        <u val="none"/>
        <vertAlign val="baseline"/>
        <sz val="10"/>
        <color theme="1"/>
        <name val="ArialMT"/>
        <scheme val="none"/>
      </font>
      <alignment horizontal="center" vertical="center" textRotation="0" wrapText="1" indent="0" justifyLastLine="0" shrinkToFit="0" readingOrder="0"/>
    </dxf>
    <dxf>
      <font>
        <b val="0"/>
        <i val="0"/>
        <strike val="0"/>
        <condense val="0"/>
        <extend val="0"/>
        <outline val="0"/>
        <shadow val="0"/>
        <u val="none"/>
        <vertAlign val="baseline"/>
        <sz val="10"/>
        <color theme="1"/>
        <name val="ArialMT"/>
        <scheme val="none"/>
      </font>
      <alignment horizontal="center" vertical="center" textRotation="0" wrapText="1" indent="0" justifyLastLine="0" shrinkToFit="0" readingOrder="0"/>
    </dxf>
    <dxf>
      <font>
        <b val="0"/>
        <i val="0"/>
        <strike val="0"/>
        <condense val="0"/>
        <extend val="0"/>
        <outline val="0"/>
        <shadow val="0"/>
        <u val="none"/>
        <vertAlign val="baseline"/>
        <sz val="10"/>
        <color theme="1"/>
        <name val="ArialMT"/>
        <scheme val="none"/>
      </font>
      <alignment horizontal="center" vertical="center" textRotation="0" wrapText="1" indent="0" justifyLastLine="0" shrinkToFit="0" readingOrder="0"/>
    </dxf>
    <dxf>
      <font>
        <b val="0"/>
        <i val="0"/>
        <strike val="0"/>
        <condense val="0"/>
        <extend val="0"/>
        <outline val="0"/>
        <shadow val="0"/>
        <u val="none"/>
        <vertAlign val="baseline"/>
        <sz val="10"/>
        <color rgb="FF000000"/>
        <name val="ArialMT"/>
        <scheme val="none"/>
      </font>
      <alignment horizontal="center" vertical="center" textRotation="0" wrapText="1" indent="0" justifyLastLine="0" shrinkToFit="0" readingOrder="0"/>
    </dxf>
    <dxf>
      <font>
        <b val="0"/>
        <i val="0"/>
        <strike val="0"/>
        <condense val="0"/>
        <extend val="0"/>
        <outline val="0"/>
        <shadow val="0"/>
        <u val="none"/>
        <vertAlign val="baseline"/>
        <sz val="10"/>
        <color theme="1"/>
        <name val="ArialMT"/>
        <scheme val="none"/>
      </font>
      <alignment horizontal="center" vertical="center" textRotation="0" wrapText="1" indent="0" justifyLastLine="0" shrinkToFit="0" readingOrder="0"/>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14" formatCode="0.00%"/>
    </dxf>
    <dxf>
      <alignment horizontal="general" vertical="center" textRotation="0" wrapText="0" indent="0" justifyLastLine="0" shrinkToFit="0" readingOrder="0"/>
    </dxf>
    <dxf>
      <font>
        <name val="ArialMT"/>
      </font>
      <alignment horizontal="general" vertical="center" textRotation="0" wrapText="0" indent="0" justifyLastLine="0" shrinkToFit="0" readingOrder="0"/>
    </dxf>
    <dxf>
      <font>
        <name val="ArialMT"/>
      </font>
      <alignment horizontal="general" vertical="center" textRotation="0" wrapText="0" indent="0" justifyLastLine="0" shrinkToFit="0" readingOrder="0"/>
    </dxf>
    <dxf>
      <font>
        <b/>
        <i val="0"/>
        <strike val="0"/>
        <condense val="0"/>
        <extend val="0"/>
        <outline val="0"/>
        <shadow val="0"/>
        <u val="none"/>
        <vertAlign val="baseline"/>
        <sz val="11"/>
        <color theme="1"/>
        <name val="Calibri"/>
        <family val="2"/>
        <scheme val="minor"/>
      </font>
      <alignment horizontal="center" vertical="bottom" textRotation="0" indent="0" justifyLastLine="0" shrinkToFit="0" readingOrder="0"/>
    </dxf>
    <dxf>
      <numFmt numFmtId="34" formatCode="_(&quot;$&quot;* #,##0.00_);_(&quot;$&quot;* \(#,##0.00\);_(&quot;$&quot;* &quot;-&quot;??_);_(@_)"/>
    </dxf>
    <dxf>
      <numFmt numFmtId="34" formatCode="_(&quot;$&quot;* #,##0.00_);_(&quot;$&quot;* \(#,##0.00\);_(&quot;$&quot;* &quot;-&quot;??_);_(@_)"/>
    </dxf>
    <dxf>
      <alignment horizontal="general" vertical="center" textRotation="0" wrapText="0" indent="0" justifyLastLine="0" shrinkToFit="0" readingOrder="0"/>
    </dxf>
    <dxf>
      <alignment horizontal="general" vertical="center" textRotation="0" wrapText="0" indent="0" justifyLastLine="0" shrinkToFit="0" readingOrder="0"/>
    </dxf>
    <dxf>
      <font>
        <b/>
        <i val="0"/>
        <strike val="0"/>
        <condense val="0"/>
        <extend val="0"/>
        <outline val="0"/>
        <shadow val="0"/>
        <u val="none"/>
        <vertAlign val="baseline"/>
        <sz val="11"/>
        <color theme="1"/>
        <name val="Calibri"/>
        <family val="2"/>
        <scheme val="minor"/>
      </font>
    </dxf>
    <dxf>
      <numFmt numFmtId="34" formatCode="_(&quot;$&quot;* #,##0.00_);_(&quot;$&quot;* \(#,##0.00\);_(&quot;$&quot;* &quot;-&quot;??_);_(@_)"/>
    </dxf>
    <dxf>
      <numFmt numFmtId="34" formatCode="_(&quot;$&quot;* #,##0.00_);_(&quot;$&quot;* \(#,##0.00\);_(&quot;$&quot;* &quot;-&quot;??_);_(@_)"/>
    </dxf>
    <dxf>
      <alignment horizontal="general" vertical="center" textRotation="0" wrapText="0" indent="0" justifyLastLine="0" shrinkToFit="0" readingOrder="0"/>
    </dxf>
    <dxf>
      <alignment horizontal="general" vertical="center" textRotation="0" wrapText="0" indent="0" justifyLastLine="0" shrinkToFit="0" readingOrder="0"/>
    </dxf>
    <dxf>
      <font>
        <b/>
        <i val="0"/>
        <strike val="0"/>
        <condense val="0"/>
        <extend val="0"/>
        <outline val="0"/>
        <shadow val="0"/>
        <u val="none"/>
        <vertAlign val="baseline"/>
        <sz val="11"/>
        <color theme="1"/>
        <name val="Calibri"/>
        <family val="2"/>
        <scheme val="minor"/>
      </font>
    </dxf>
    <dxf>
      <numFmt numFmtId="34" formatCode="_(&quot;$&quot;* #,##0.00_);_(&quot;$&quot;* \(#,##0.00\);_(&quot;$&quot;* &quot;-&quot;??_);_(@_)"/>
    </dxf>
    <dxf>
      <numFmt numFmtId="34" formatCode="_(&quot;$&quot;* #,##0.00_);_(&quot;$&quot;* \(#,##0.00\);_(&quot;$&quot;* &quot;-&quot;??_);_(@_)"/>
    </dxf>
    <dxf>
      <alignment horizontal="general" vertical="center" textRotation="0" wrapText="0" indent="0" justifyLastLine="0" shrinkToFit="0" readingOrder="0"/>
    </dxf>
    <dxf>
      <alignment horizontal="general" vertical="center" textRotation="0" wrapText="0" indent="0" justifyLastLine="0" shrinkToFit="0" readingOrder="0"/>
    </dxf>
    <dxf>
      <font>
        <b/>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0"/>
        <color theme="1"/>
        <name val="ArialMT"/>
        <scheme val="none"/>
      </font>
      <numFmt numFmtId="34" formatCode="_(&quot;$&quot;* #,##0.00_);_(&quot;$&quot;* \(#,##0.00\);_(&quot;$&quot;* &quot;-&quot;??_);_(@_)"/>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numFmt numFmtId="34" formatCode="_(&quot;$&quot;* #,##0.00_);_(&quot;$&quot;* \(#,##0.00\);_(&quot;$&quot;* &quot;-&quot;??_);_(@_)"/>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0"/>
        <color theme="1"/>
        <name val="ArialMT"/>
        <scheme val="none"/>
      </font>
      <numFmt numFmtId="34" formatCode="_(&quot;$&quot;* #,##0.00_);_(&quot;$&quot;* \(#,##0.00\);_(&quot;$&quot;* &quot;-&quot;??_);_(@_)"/>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numFmt numFmtId="34" formatCode="_(&quot;$&quot;* #,##0.00_);_(&quot;$&quot;* \(#,##0.00\);_(&quot;$&quot;* &quot;-&quot;??_);_(@_)"/>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0"/>
        <color theme="1"/>
        <name val="ArialMT"/>
        <scheme val="none"/>
      </font>
      <numFmt numFmtId="34" formatCode="_(&quot;$&quot;* #,##0.00_);_(&quot;$&quot;* \(#,##0.00\);_(&quot;$&quot;* &quot;-&quot;??_);_(@_)"/>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0"/>
        <color theme="1"/>
        <name val="ArialMT"/>
        <scheme val="none"/>
      </font>
      <alignment horizontal="center" vertical="center" textRotation="0" wrapText="1" indent="0" justifyLastLine="0" shrinkToFit="0" readingOrder="0"/>
    </dxf>
    <dxf>
      <font>
        <b val="0"/>
        <i val="0"/>
        <strike val="0"/>
        <condense val="0"/>
        <extend val="0"/>
        <outline val="0"/>
        <shadow val="0"/>
        <u val="none"/>
        <vertAlign val="baseline"/>
        <sz val="10"/>
        <color theme="1"/>
        <name val="ArialMT"/>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MT"/>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MT"/>
        <scheme val="none"/>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theme="1"/>
        <name val="ArialMT"/>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MT"/>
        <scheme val="none"/>
      </font>
      <fill>
        <patternFill patternType="none">
          <fgColor indexed="64"/>
          <bgColor auto="1"/>
        </patternFill>
      </fill>
      <alignment horizontal="center" vertical="center" textRotation="0" wrapText="1" indent="0" justifyLastLine="0" shrinkToFit="0" readingOrder="0"/>
    </dxf>
    <dxf>
      <alignment vertical="center" textRotation="0" indent="0" justifyLastLine="0" shrinkToFit="0" readingOrder="0"/>
    </dxf>
    <dxf>
      <fill>
        <patternFill patternType="none">
          <fgColor indexed="64"/>
          <bgColor auto="1"/>
        </patternFill>
      </fill>
      <alignment vertical="center" textRotation="0" indent="0" justifyLastLine="0" shrinkToFit="0" readingOrder="0"/>
    </dxf>
    <dxf>
      <font>
        <b/>
        <i val="0"/>
        <strike val="0"/>
        <condense val="0"/>
        <extend val="0"/>
        <outline val="0"/>
        <shadow val="0"/>
        <u val="none"/>
        <vertAlign val="baseline"/>
        <sz val="10"/>
        <color theme="1"/>
        <name val="ArialMT"/>
        <scheme val="none"/>
      </font>
      <fill>
        <patternFill patternType="none">
          <fgColor indexed="64"/>
          <bgColor auto="1"/>
        </patternFill>
      </fill>
      <alignment horizontal="center" vertical="center" textRotation="0" wrapText="1" indent="0" justifyLastLine="0" shrinkToFit="0" readingOrder="0"/>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1" formatCode="0"/>
    </dxf>
    <dxf>
      <font>
        <b val="0"/>
        <i val="0"/>
        <strike val="0"/>
        <condense val="0"/>
        <extend val="0"/>
        <outline val="0"/>
        <shadow val="0"/>
        <u val="none"/>
        <vertAlign val="baseline"/>
        <sz val="10"/>
        <color theme="1"/>
        <name val="Arial"/>
        <family val="2"/>
        <scheme val="none"/>
      </font>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numFmt numFmtId="1" formatCode="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0" formatCode="General"/>
      <alignment horizontal="center" vertical="center" textRotation="0" wrapText="1" indent="0" justifyLastLine="0" shrinkToFit="0" readingOrder="0"/>
    </dxf>
    <dxf>
      <numFmt numFmtId="34" formatCode="_(&quot;$&quot;* #,##0.00_);_(&quot;$&quot;* \(#,##0.00\);_(&quot;$&quot;* &quot;-&quot;??_);_(@_)"/>
      <alignment horizontal="general" vertical="bottom" textRotation="0" wrapText="1" indent="0" justifyLastLine="0" shrinkToFit="0" readingOrder="0"/>
    </dxf>
    <dxf>
      <numFmt numFmtId="34" formatCode="_(&quot;$&quot;* #,##0.00_);_(&quot;$&quot;* \(#,##0.00\);_(&quot;$&quot;* &quot;-&quot;??_);_(@_)"/>
      <alignment textRotation="0" wrapText="1" indent="0" justifyLastLine="0" shrinkToFit="0" readingOrder="0"/>
    </dxf>
    <dxf>
      <numFmt numFmtId="34" formatCode="_(&quot;$&quot;* #,##0.00_);_(&quot;$&quot;* \(#,##0.00\);_(&quot;$&quot;* &quot;-&quot;??_);_(@_)"/>
      <alignment horizontal="general" vertical="bottom" textRotation="0" wrapText="1" indent="0" justifyLastLine="0" shrinkToFit="0" readingOrder="0"/>
    </dxf>
    <dxf>
      <alignment textRotation="0" wrapText="1" indent="0" justifyLastLine="0" shrinkToFit="0" readingOrder="0"/>
    </dxf>
    <dxf>
      <alignment horizontal="general" vertical="bottom" textRotation="0" wrapText="1" indent="0" justifyLastLine="0" shrinkToFit="0" readingOrder="0"/>
    </dxf>
    <dxf>
      <numFmt numFmtId="34" formatCode="_(&quot;$&quot;* #,##0.00_);_(&quot;$&quot;* \(#,##0.00\);_(&quot;$&quot;* &quot;-&quot;??_);_(@_)"/>
      <alignment textRotation="0" wrapText="1" indent="0" justifyLastLine="0" shrinkToFit="0" readingOrder="0"/>
    </dxf>
    <dxf>
      <alignment horizontal="general" vertical="bottom" textRotation="0" wrapText="1" indent="0" justifyLastLine="0" shrinkToFit="0" readingOrder="0"/>
    </dxf>
    <dxf>
      <numFmt numFmtId="34" formatCode="_(&quot;$&quot;* #,##0.00_);_(&quot;$&quot;* \(#,##0.00\);_(&quot;$&quot;* &quot;-&quot;??_);_(@_)"/>
      <alignment textRotation="0" wrapText="1" indent="0" justifyLastLine="0" shrinkToFit="0" readingOrder="0"/>
    </dxf>
    <dxf>
      <alignment horizontal="general" vertical="bottom" textRotation="0" wrapText="1" indent="0" justifyLastLine="0" shrinkToFit="0" readingOrder="0"/>
    </dxf>
    <dxf>
      <numFmt numFmtId="0" formatCode="General"/>
      <alignment textRotation="0" wrapText="1" indent="0" justifyLastLine="0" shrinkToFit="0" readingOrder="0"/>
    </dxf>
    <dxf>
      <alignment horizontal="general" vertical="bottom" textRotation="0" wrapText="1" indent="0" justifyLastLine="0" shrinkToFit="0" readingOrder="0"/>
    </dxf>
    <dxf>
      <numFmt numFmtId="0" formatCode="General"/>
      <alignment textRotation="0" wrapText="1" indent="0" justifyLastLine="0" shrinkToFit="0" readingOrder="0"/>
    </dxf>
    <dxf>
      <alignment horizontal="general" vertical="bottom" textRotation="0" wrapText="1" indent="0" justifyLastLine="0" shrinkToFit="0" readingOrder="0"/>
    </dxf>
    <dxf>
      <alignment textRotation="0" wrapText="1" indent="0" justifyLastLine="0" shrinkToFit="0" readingOrder="0"/>
    </dxf>
    <dxf>
      <alignment horizontal="general" vertical="bottom"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numFmt numFmtId="34" formatCode="_(&quot;$&quot;* #,##0.00_);_(&quot;$&quot;* \(#,##0.00\);_(&quot;$&quot;* &quot;-&quot;??_);_(@_)"/>
      <alignment horizontal="general" vertical="center" textRotation="0" wrapText="1" indent="0" justifyLastLine="0" shrinkToFit="0" readingOrder="0"/>
    </dxf>
    <dxf>
      <numFmt numFmtId="34" formatCode="_(&quot;$&quot;* #,##0.00_);_(&quot;$&quot;* \(#,##0.00\);_(&quot;$&quot;* &quot;-&quot;??_);_(@_)"/>
      <alignment horizontal="general" vertical="center" textRotation="0" wrapText="1" indent="0" justifyLastLine="0" shrinkToFit="0" readingOrder="0"/>
    </dxf>
    <dxf>
      <numFmt numFmtId="34" formatCode="_(&quot;$&quot;* #,##0.00_);_(&quot;$&quot;* \(#,##0.00\);_(&quot;$&quot;* &quot;-&quot;??_);_(@_)"/>
      <alignment horizontal="general" vertical="center" textRotation="0" wrapText="1" indent="0" justifyLastLine="0" shrinkToFit="0" readingOrder="0"/>
    </dxf>
    <dxf>
      <numFmt numFmtId="34" formatCode="_(&quot;$&quot;* #,##0.00_);_(&quot;$&quot;* \(#,##0.00\);_(&quot;$&quot;* &quot;-&quot;??_);_(@_)"/>
      <alignment horizontal="general" vertical="center" textRotation="0" wrapText="1" indent="0" justifyLastLine="0" shrinkToFit="0" readingOrder="0"/>
    </dxf>
    <dxf>
      <font>
        <b val="0"/>
        <i val="0"/>
        <strike val="0"/>
        <condense val="0"/>
        <extend val="0"/>
        <outline val="0"/>
        <shadow val="0"/>
        <u val="none"/>
        <vertAlign val="baseline"/>
        <sz val="10"/>
        <color theme="1"/>
        <name val="Arial"/>
        <family val="2"/>
        <scheme val="none"/>
      </font>
      <numFmt numFmtId="34" formatCode="_(&quot;$&quot;* #,##0.00_);_(&quot;$&quot;* \(#,##0.00\);_(&quot;$&quot;* &quot;-&quot;??_);_(@_)"/>
      <alignment horizontal="general" vertical="center" textRotation="0" wrapText="1" indent="0" justifyLastLine="0" shrinkToFit="0" readingOrder="0"/>
    </dxf>
    <dxf>
      <numFmt numFmtId="34" formatCode="_(&quot;$&quot;* #,##0.00_);_(&quot;$&quot;* \(#,##0.00\);_(&quot;$&quot;* &quot;-&quot;??_);_(@_)"/>
      <alignment horizontal="general" vertical="center" textRotation="0" wrapText="1" indent="0" justifyLastLine="0" shrinkToFit="0" readingOrder="0"/>
    </dxf>
    <dxf>
      <numFmt numFmtId="1" formatCode="0"/>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textRotation="0" wrapText="1" indent="0" justifyLastLine="0" shrinkToFit="0" readingOrder="0"/>
    </dxf>
    <dxf>
      <alignment horizontal="general" vertical="center" textRotation="0" wrapText="1" indent="0" justifyLastLine="0" shrinkToFit="0" readingOrder="0"/>
    </dxf>
    <dxf>
      <alignment horizontal="center" vertical="center" textRotation="0" wrapText="1" indent="0" justifyLastLine="0" shrinkToFit="0" readingOrder="0"/>
    </dxf>
    <dxf>
      <numFmt numFmtId="34" formatCode="_(&quot;$&quot;* #,##0.00_);_(&quot;$&quot;* \(#,##0.00\);_(&quot;$&quot;* &quot;-&quot;??_);_(@_)"/>
      <alignment horizontal="general" vertical="center" textRotation="0" wrapText="1" indent="0" justifyLastLine="0" shrinkToFit="0" readingOrder="0"/>
    </dxf>
    <dxf>
      <numFmt numFmtId="34" formatCode="_(&quot;$&quot;* #,##0.00_);_(&quot;$&quot;* \(#,##0.00\);_(&quot;$&quot;* &quot;-&quot;??_);_(@_)"/>
      <alignment horizontal="general" vertical="center" textRotation="0" wrapText="1" indent="0" justifyLastLine="0" shrinkToFit="0" readingOrder="0"/>
    </dxf>
    <dxf>
      <numFmt numFmtId="34" formatCode="_(&quot;$&quot;* #,##0.00_);_(&quot;$&quot;* \(#,##0.00\);_(&quot;$&quot;* &quot;-&quot;??_);_(@_)"/>
      <alignment horizontal="general" vertical="center" textRotation="0" wrapText="1" indent="0" justifyLastLine="0" shrinkToFit="0" readingOrder="0"/>
    </dxf>
    <dxf>
      <numFmt numFmtId="34" formatCode="_(&quot;$&quot;* #,##0.00_);_(&quot;$&quot;* \(#,##0.00\);_(&quot;$&quot;* &quot;-&quot;??_);_(@_)"/>
      <alignment horizontal="general" vertical="center" textRotation="0" wrapText="1" indent="0" justifyLastLine="0" shrinkToFit="0" readingOrder="0"/>
    </dxf>
    <dxf>
      <font>
        <b val="0"/>
        <i val="0"/>
        <strike val="0"/>
        <condense val="0"/>
        <extend val="0"/>
        <outline val="0"/>
        <shadow val="0"/>
        <u val="none"/>
        <vertAlign val="baseline"/>
        <sz val="10"/>
        <color theme="1"/>
        <name val="Arial"/>
        <family val="2"/>
        <scheme val="none"/>
      </font>
      <numFmt numFmtId="34" formatCode="_(&quot;$&quot;* #,##0.00_);_(&quot;$&quot;* \(#,##0.00\);_(&quot;$&quot;* &quot;-&quot;??_);_(@_)"/>
      <alignment horizontal="general" vertical="center" textRotation="0" wrapText="1" indent="0" justifyLastLine="0" shrinkToFit="0" readingOrder="0"/>
    </dxf>
    <dxf>
      <numFmt numFmtId="34" formatCode="_(&quot;$&quot;* #,##0.00_);_(&quot;$&quot;* \(#,##0.00\);_(&quot;$&quot;* &quot;-&quot;??_);_(@_)"/>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center" vertical="center" textRotation="0" wrapText="1" indent="0" justifyLastLine="0" shrinkToFit="0" readingOrder="0"/>
    </dxf>
    <dxf>
      <numFmt numFmtId="34" formatCode="_(&quot;$&quot;* #,##0.00_);_(&quot;$&quot;* \(#,##0.00\);_(&quot;$&quot;* &quot;-&quot;??_);_(@_)"/>
      <alignment horizontal="general" vertical="center" textRotation="0" wrapText="1" indent="0" justifyLastLine="0" shrinkToFit="0" readingOrder="0"/>
    </dxf>
    <dxf>
      <numFmt numFmtId="34" formatCode="_(&quot;$&quot;* #,##0.00_);_(&quot;$&quot;* \(#,##0.00\);_(&quot;$&quot;* &quot;-&quot;??_);_(@_)"/>
      <alignment vertical="center" textRotation="0" wrapText="1" indent="0" justifyLastLine="0" shrinkToFit="0" readingOrder="0"/>
    </dxf>
    <dxf>
      <font>
        <b val="0"/>
        <i val="0"/>
        <strike val="0"/>
        <condense val="0"/>
        <extend val="0"/>
        <outline val="0"/>
        <shadow val="0"/>
        <u val="none"/>
        <vertAlign val="baseline"/>
        <sz val="10"/>
        <color theme="1"/>
        <name val="Arial"/>
        <family val="2"/>
        <scheme val="none"/>
      </font>
      <numFmt numFmtId="164" formatCode="_(* #,##0_);_(* \(#,##0\);_(* &quot;-&quot;??_);_(@_)"/>
      <alignment horizontal="general" vertical="center" textRotation="0" wrapText="1" indent="0" justifyLastLine="0" shrinkToFit="0" readingOrder="0"/>
    </dxf>
    <dxf>
      <alignment vertical="center" textRotation="0" wrapText="1" indent="0" justifyLastLine="0" shrinkToFit="0" readingOrder="0"/>
    </dxf>
    <dxf>
      <alignment horizontal="general" vertical="center" textRotation="0" wrapText="1" indent="0" justifyLastLine="0" shrinkToFit="0" readingOrder="0"/>
    </dxf>
    <dxf>
      <numFmt numFmtId="34" formatCode="_(&quot;$&quot;* #,##0.00_);_(&quot;$&quot;* \(#,##0.00\);_(&quot;$&quot;* &quot;-&quot;??_);_(@_)"/>
      <alignment vertical="center" textRotation="0" wrapText="1" indent="0" justifyLastLine="0" shrinkToFit="0" readingOrder="0"/>
    </dxf>
    <dxf>
      <alignment horizontal="general" vertical="center" textRotation="0" wrapText="1" indent="0" justifyLastLine="0" shrinkToFit="0" readingOrder="0"/>
    </dxf>
    <dxf>
      <alignment vertical="center" textRotation="0" wrapText="1" indent="0" justifyLastLine="0" shrinkToFit="0" readingOrder="0"/>
    </dxf>
    <dxf>
      <alignment vertical="center" textRotation="0" wrapText="1" indent="0" justifyLastLine="0" shrinkToFit="0" readingOrder="0"/>
    </dxf>
    <dxf>
      <alignment horizontal="center" vertical="center" textRotation="0" wrapText="1" indent="0" justifyLastLine="0" shrinkToFit="0" readingOrder="0"/>
    </dxf>
    <dxf>
      <numFmt numFmtId="34" formatCode="_(&quot;$&quot;* #,##0.00_);_(&quot;$&quot;* \(#,##0.00\);_(&quot;$&quot;* &quot;-&quot;??_);_(@_)"/>
      <alignment horizontal="general" vertical="center" textRotation="0" wrapText="1" indent="0" justifyLastLine="0" shrinkToFit="0" readingOrder="0"/>
    </dxf>
    <dxf>
      <alignment horizontal="general" vertical="center" textRotation="0" wrapText="1" indent="0" justifyLastLine="0" shrinkToFit="0" readingOrder="0"/>
    </dxf>
    <dxf>
      <numFmt numFmtId="34" formatCode="_(&quot;$&quot;* #,##0.00_);_(&quot;$&quot;* \(#,##0.00\);_(&quot;$&quot;* &quot;-&quot;??_);_(@_)"/>
      <alignment vertical="center" textRotation="0" wrapText="1" indent="0" justifyLastLine="0" shrinkToFit="0" readingOrder="0"/>
    </dxf>
    <dxf>
      <alignment horizontal="general" vertical="center" textRotation="0" wrapText="1" indent="0" justifyLastLine="0" shrinkToFit="0" readingOrder="0"/>
    </dxf>
    <dxf>
      <alignment vertical="center" textRotation="0" wrapText="1" indent="0" justifyLastLine="0" shrinkToFit="0" readingOrder="0"/>
    </dxf>
    <dxf>
      <alignment vertical="center" textRotation="0" wrapText="1" indent="0" justifyLastLine="0" shrinkToFit="0" readingOrder="0"/>
    </dxf>
    <dxf>
      <alignment horizontal="center" vertical="center" textRotation="0" wrapText="1" indent="0" justifyLastLine="0" shrinkToFit="0" readingOrder="0"/>
    </dxf>
    <dxf>
      <numFmt numFmtId="34" formatCode="_(&quot;$&quot;* #,##0.00_);_(&quot;$&quot;* \(#,##0.00\);_(&quot;$&quot;* &quot;-&quot;??_);_(@_)"/>
      <alignment horizontal="general" vertical="center" textRotation="0" wrapText="1" indent="0" justifyLastLine="0" shrinkToFit="0" readingOrder="0"/>
    </dxf>
    <dxf>
      <numFmt numFmtId="34" formatCode="_(&quot;$&quot;* #,##0.00_);_(&quot;$&quot;* \(#,##0.00\);_(&quot;$&quot;* &quot;-&quot;??_);_(@_)"/>
    </dxf>
    <dxf>
      <font>
        <b val="0"/>
        <i val="0"/>
        <strike val="0"/>
        <condense val="0"/>
        <extend val="0"/>
        <outline val="0"/>
        <shadow val="0"/>
        <u val="none"/>
        <vertAlign val="baseline"/>
        <sz val="10"/>
        <color theme="1"/>
        <name val="Arial"/>
        <family val="2"/>
        <scheme val="none"/>
      </font>
      <numFmt numFmtId="164" formatCode="_(* #,##0_);_(* \(#,##0\);_(* &quot;-&quot;??_);_(@_)"/>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vertical="center" textRotation="0" wrapText="1" indent="0" justifyLastLine="0" shrinkToFit="0" readingOrder="0"/>
    </dxf>
    <dxf>
      <alignment vertical="center" textRotation="0" wrapText="1" indent="0" justifyLastLine="0" shrinkToFit="0" readingOrder="0"/>
    </dxf>
    <dxf>
      <alignment horizontal="center" vertical="center" textRotation="0" wrapText="1" indent="0" justifyLastLine="0" shrinkToFit="0" readingOrder="0"/>
    </dxf>
    <dxf>
      <alignment horizontal="general" vertical="bottom" textRotation="0" wrapText="1" indent="0" justifyLastLine="0" shrinkToFit="0" readingOrder="0"/>
    </dxf>
    <dxf>
      <font>
        <b val="0"/>
        <i val="0"/>
        <strike val="0"/>
        <condense val="0"/>
        <extend val="0"/>
        <outline val="0"/>
        <shadow val="0"/>
        <u val="none"/>
        <vertAlign val="baseline"/>
        <sz val="10"/>
        <color theme="1"/>
        <name val="ArialMT"/>
        <scheme val="none"/>
      </font>
      <fill>
        <patternFill patternType="none">
          <fgColor indexed="64"/>
          <bgColor indexed="65"/>
        </patternFill>
      </fill>
      <alignment textRotation="0" wrapText="1" indent="0" justifyLastLine="0" shrinkToFit="0" readingOrder="0"/>
    </dxf>
    <dxf>
      <font>
        <b val="0"/>
        <i val="0"/>
        <strike val="0"/>
        <condense val="0"/>
        <extend val="0"/>
        <outline val="0"/>
        <shadow val="0"/>
        <u val="none"/>
        <vertAlign val="baseline"/>
        <sz val="10"/>
        <color theme="1"/>
        <name val="ArialMT"/>
        <scheme val="none"/>
      </font>
      <numFmt numFmtId="34" formatCode="_(&quot;$&quot;* #,##0.00_);_(&quot;$&quot;* \(#,##0.00\);_(&quot;$&quot;* &quot;-&quot;??_);_(@_)"/>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numFmt numFmtId="34" formatCode="_(&quot;$&quot;* #,##0.00_);_(&quot;$&quot;* \(#,##0.00\);_(&quot;$&quot;* &quot;-&quot;??_);_(@_)"/>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numFmt numFmtId="34" formatCode="_(&quot;$&quot;* #,##0.00_);_(&quot;$&quot;* \(#,##0.00\);_(&quot;$&quot;* &quot;-&quot;??_);_(@_)"/>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numFmt numFmtId="34" formatCode="_(&quot;$&quot;* #,##0.00_);_(&quot;$&quot;* \(#,##0.00\);_(&quot;$&quot;* &quot;-&quot;??_);_(@_)"/>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numFmt numFmtId="164" formatCode="_(* #,##0_);_(* \(#,##0\);_(* &quot;-&quot;??_);_(@_)"/>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theme="1"/>
        <name val="ArialMT"/>
        <scheme val="none"/>
      </font>
      <numFmt numFmtId="164" formatCode="_(* #,##0_);_(* \(#,##0\);_(* &quot;-&quot;??_);_(@_)"/>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theme="1"/>
        <name val="ArialMT"/>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fill>
        <patternFill patternType="none">
          <fgColor indexed="64"/>
          <bgColor indexed="65"/>
        </patternFill>
      </fill>
      <alignment horizontal="general" vertical="center"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horizontal="center" vertical="center" textRotation="0" wrapText="1" indent="0" justifyLastLine="0" shrinkToFit="0" readingOrder="0"/>
    </dxf>
    <dxf>
      <font>
        <b val="0"/>
        <i val="0"/>
        <strike val="0"/>
        <condense val="0"/>
        <extend val="0"/>
        <outline val="0"/>
        <shadow val="0"/>
        <u val="none"/>
        <vertAlign val="baseline"/>
        <sz val="10"/>
        <color theme="1"/>
        <name val="ArialMT"/>
        <scheme val="none"/>
      </font>
      <numFmt numFmtId="176" formatCode="&quot;$&quot;#,##0.00"/>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numFmt numFmtId="176" formatCode="&quot;$&quot;#,##0.00"/>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theme="1"/>
        <name val="ArialMT"/>
        <scheme val="none"/>
      </font>
      <numFmt numFmtId="0" formatCode="General"/>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theme="1"/>
        <name val="ArialMT"/>
        <scheme val="none"/>
      </font>
      <numFmt numFmtId="176" formatCode="&quot;$&quot;#,##0.00"/>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theme="1"/>
        <name val="ArialMT"/>
        <scheme val="none"/>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theme="1"/>
        <name val="ArialMT"/>
        <scheme val="none"/>
      </font>
      <numFmt numFmtId="176" formatCode="&quot;$&quot;#,##0.00"/>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theme="1"/>
        <name val="ArialMT"/>
        <scheme val="none"/>
      </font>
      <numFmt numFmtId="19" formatCode="m/d/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MT"/>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alignment horizontal="center" vertical="center" textRotation="0" wrapText="1" indent="0" justifyLastLine="0" shrinkToFit="0" readingOrder="0"/>
    </dxf>
    <dxf>
      <numFmt numFmtId="34" formatCode="_(&quot;$&quot;* #,##0.00_);_(&quot;$&quot;* \(#,##0.00\);_(&quot;$&quot;* &quot;-&quot;??_);_(@_)"/>
    </dxf>
    <dxf>
      <numFmt numFmtId="34" formatCode="_(&quot;$&quot;* #,##0.00_);_(&quot;$&quot;* \(#,##0.00\);_(&quot;$&quot;* &quot;-&quot;??_);_(@_)"/>
    </dxf>
    <dxf>
      <numFmt numFmtId="173" formatCode="0.000"/>
    </dxf>
    <dxf>
      <numFmt numFmtId="173" formatCode="0.000"/>
    </dxf>
    <dxf>
      <border outline="0">
        <left style="thin">
          <color indexed="64"/>
        </left>
        <bottom style="double">
          <color indexed="64"/>
        </bottom>
      </border>
    </dxf>
    <dxf>
      <font>
        <b val="0"/>
        <i val="0"/>
        <strike val="0"/>
        <condense val="0"/>
        <extend val="0"/>
        <outline val="0"/>
        <shadow val="0"/>
        <u val="none"/>
        <vertAlign val="baseline"/>
        <sz val="10"/>
        <color theme="0"/>
        <name val="ArialMT"/>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alignment horizontal="general" vertical="bottom" textRotation="0" wrapText="1" indent="0" justifyLastLine="0" shrinkToFit="0" readingOrder="0"/>
    </dxf>
    <dxf>
      <font>
        <b val="0"/>
        <i val="0"/>
        <strike val="0"/>
        <condense val="0"/>
        <extend val="0"/>
        <outline val="0"/>
        <shadow val="0"/>
        <u val="none"/>
        <vertAlign val="baseline"/>
        <sz val="10"/>
        <color theme="1"/>
        <name val="ArialMT"/>
        <scheme val="none"/>
      </font>
      <fill>
        <patternFill patternType="none">
          <fgColor indexed="64"/>
          <bgColor indexed="65"/>
        </patternFill>
      </fill>
      <alignment textRotation="0" wrapText="1" indent="0" justifyLastLine="0" shrinkToFit="0" readingOrder="0"/>
    </dxf>
    <dxf>
      <font>
        <b val="0"/>
        <i val="0"/>
        <strike val="0"/>
        <condense val="0"/>
        <extend val="0"/>
        <outline val="0"/>
        <shadow val="0"/>
        <u val="none"/>
        <vertAlign val="baseline"/>
        <sz val="10"/>
        <color theme="1"/>
        <name val="ArialMT"/>
        <scheme val="none"/>
      </font>
      <numFmt numFmtId="34" formatCode="_(&quot;$&quot;* #,##0.00_);_(&quot;$&quot;* \(#,##0.00\);_(&quot;$&quot;* &quot;-&quot;??_);_(@_)"/>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numFmt numFmtId="34" formatCode="_(&quot;$&quot;* #,##0.00_);_(&quot;$&quot;* \(#,##0.00\);_(&quot;$&quot;* &quot;-&quot;??_);_(@_)"/>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numFmt numFmtId="34" formatCode="_(&quot;$&quot;* #,##0.00_);_(&quot;$&quot;* \(#,##0.00\);_(&quot;$&quot;* &quot;-&quot;??_);_(@_)"/>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numFmt numFmtId="34" formatCode="_(&quot;$&quot;* #,##0.00_);_(&quot;$&quot;* \(#,##0.00\);_(&quot;$&quot;* &quot;-&quot;??_);_(@_)"/>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numFmt numFmtId="164" formatCode="_(* #,##0_);_(* \(#,##0\);_(* &quot;-&quot;??_);_(@_)"/>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theme="1"/>
        <name val="ArialMT"/>
        <scheme val="none"/>
      </font>
      <numFmt numFmtId="34" formatCode="_(&quot;$&quot;* #,##0.00_);_(&quot;$&quot;* \(#,##0.00\);_(&quot;$&quot;* &quot;-&quot;??_);_(@_)"/>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theme="1"/>
        <name val="ArialMT"/>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fill>
        <patternFill patternType="none">
          <fgColor indexed="64"/>
          <bgColor indexed="65"/>
        </patternFill>
      </fill>
      <alignment horizontal="general" vertical="center"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horizontal="center" vertical="center" textRotation="0" wrapText="1" indent="0" justifyLastLine="0" shrinkToFit="0" readingOrder="0"/>
    </dxf>
    <dxf>
      <numFmt numFmtId="34" formatCode="_(&quot;$&quot;* #,##0.00_);_(&quot;$&quot;* \(#,##0.00\);_(&quot;$&quot;* &quot;-&quot;??_);_(@_)"/>
    </dxf>
    <dxf>
      <numFmt numFmtId="34" formatCode="_(&quot;$&quot;* #,##0.00_);_(&quot;$&quot;* \(#,##0.00\);_(&quot;$&quot;* &quot;-&quot;??_);_(@_)"/>
    </dxf>
    <dxf>
      <font>
        <b/>
        <i val="0"/>
        <strike val="0"/>
        <condense val="0"/>
        <extend val="0"/>
        <outline val="0"/>
        <shadow val="0"/>
        <u val="none"/>
        <vertAlign val="baseline"/>
        <sz val="10"/>
        <color theme="1"/>
        <name val="ArialMT"/>
        <scheme val="none"/>
      </font>
      <fill>
        <patternFill patternType="none">
          <fgColor indexed="64"/>
          <bgColor indexed="65"/>
        </patternFill>
      </fill>
      <alignment horizontal="center" vertical="bottom" textRotation="0" wrapText="1" indent="0" justifyLastLine="0" shrinkToFit="0" readingOrder="0"/>
    </dxf>
    <dxf>
      <numFmt numFmtId="34" formatCode="_(&quot;$&quot;* #,##0.00_);_(&quot;$&quot;* \(#,##0.00\);_(&quot;$&quot;* &quot;-&quot;??_);_(@_)"/>
    </dxf>
    <dxf>
      <font>
        <b/>
        <i val="0"/>
        <strike val="0"/>
        <condense val="0"/>
        <extend val="0"/>
        <outline val="0"/>
        <shadow val="0"/>
        <u val="none"/>
        <vertAlign val="baseline"/>
        <sz val="10"/>
        <color theme="1"/>
        <name val="ArialMT"/>
        <scheme val="none"/>
      </font>
      <fill>
        <patternFill patternType="none">
          <fgColor indexed="64"/>
          <bgColor indexed="65"/>
        </patternFill>
      </fill>
      <alignment horizontal="center" vertical="bottom" textRotation="0" wrapText="1" indent="0" justifyLastLine="0" shrinkToFit="0" readingOrder="0"/>
    </dxf>
    <dxf>
      <numFmt numFmtId="34" formatCode="_(&quot;$&quot;* #,##0.00_);_(&quot;$&quot;* \(#,##0.00\);_(&quot;$&quot;* &quot;-&quot;??_);_(@_)"/>
    </dxf>
    <dxf>
      <font>
        <b/>
        <i val="0"/>
        <strike val="0"/>
        <condense val="0"/>
        <extend val="0"/>
        <outline val="0"/>
        <shadow val="0"/>
        <u val="none"/>
        <vertAlign val="baseline"/>
        <sz val="10"/>
        <color theme="1"/>
        <name val="ArialMT"/>
        <scheme val="none"/>
      </font>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0"/>
        <color theme="1"/>
        <name val="ArialMT"/>
        <scheme val="none"/>
      </font>
      <fill>
        <patternFill patternType="none">
          <fgColor indexed="64"/>
          <bgColor indexed="65"/>
        </patternFill>
      </fill>
    </dxf>
    <dxf>
      <font>
        <b val="0"/>
        <i val="0"/>
        <strike val="0"/>
        <condense val="0"/>
        <extend val="0"/>
        <outline val="0"/>
        <shadow val="0"/>
        <u val="none"/>
        <vertAlign val="baseline"/>
        <sz val="10"/>
        <color theme="1"/>
        <name val="ArialMT"/>
        <scheme val="none"/>
      </font>
      <fill>
        <patternFill patternType="none">
          <fgColor indexed="64"/>
          <bgColor indexed="65"/>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MT"/>
        <scheme val="none"/>
      </font>
      <fill>
        <patternFill patternType="none">
          <fgColor indexed="64"/>
          <bgColor indexed="65"/>
        </patternFill>
      </fill>
      <alignment horizontal="left" vertical="bottom" textRotation="0" wrapText="0" indent="0" justifyLastLine="0" shrinkToFit="0" readingOrder="0"/>
    </dxf>
    <dxf>
      <font>
        <b/>
        <i val="0"/>
        <strike val="0"/>
        <condense val="0"/>
        <extend val="0"/>
        <outline val="0"/>
        <shadow val="0"/>
        <u val="none"/>
        <vertAlign val="baseline"/>
        <sz val="10"/>
        <color theme="1"/>
        <name val="ArialMT"/>
        <scheme val="none"/>
      </font>
      <numFmt numFmtId="34" formatCode="_(&quot;$&quot;* #,##0.00_);_(&quot;$&quot;* \(#,##0.00\);_(&quot;$&quot;* &quot;-&quot;??_);_(@_)"/>
      <fill>
        <patternFill patternType="none">
          <fgColor indexed="64"/>
          <bgColor indexed="65"/>
        </patternFill>
      </fill>
      <alignment horizontal="left" vertical="bottom" textRotation="0" wrapText="1" indent="0" justifyLastLine="0" shrinkToFit="0" readingOrder="0"/>
    </dxf>
    <dxf>
      <font>
        <b/>
        <i val="0"/>
        <strike val="0"/>
        <condense val="0"/>
        <extend val="0"/>
        <outline val="0"/>
        <shadow val="0"/>
        <u val="none"/>
        <vertAlign val="baseline"/>
        <sz val="10"/>
        <color theme="1"/>
        <name val="ArialMT"/>
        <scheme val="none"/>
      </font>
      <fill>
        <patternFill patternType="none">
          <fgColor indexed="64"/>
          <bgColor indexed="65"/>
        </patternFill>
      </fill>
      <alignment horizontal="center" vertical="bottom" textRotation="0" wrapText="1" indent="0" justifyLastLine="0" shrinkToFit="0" readingOrder="0"/>
    </dxf>
    <dxf>
      <numFmt numFmtId="34" formatCode="_(&quot;$&quot;* #,##0.00_);_(&quot;$&quot;* \(#,##0.00\);_(&quot;$&quot;* &quot;-&quot;??_);_(@_)"/>
    </dxf>
    <dxf>
      <font>
        <b/>
        <i val="0"/>
        <strike val="0"/>
        <condense val="0"/>
        <extend val="0"/>
        <outline val="0"/>
        <shadow val="0"/>
        <u val="none"/>
        <vertAlign val="baseline"/>
        <sz val="10"/>
        <color theme="1"/>
        <name val="ArialMT"/>
        <scheme val="none"/>
      </font>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0"/>
        <color theme="1"/>
        <name val="ArialMT"/>
        <scheme val="none"/>
      </font>
      <numFmt numFmtId="34" formatCode="_(&quot;$&quot;* #,##0.00_);_(&quot;$&quot;* \(#,##0.00\);_(&quot;$&quot;* &quot;-&quot;??_);_(@_)"/>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numFmt numFmtId="34" formatCode="_(&quot;$&quot;* #,##0.00_);_(&quot;$&quot;* \(#,##0.00\);_(&quot;$&quot;* &quot;-&quot;??_);_(@_)"/>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numFmt numFmtId="0" formatCode="General"/>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theme="1"/>
        <name val="ArialMT"/>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MT"/>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fill>
        <patternFill patternType="none">
          <fgColor indexed="64"/>
          <bgColor indexed="65"/>
        </patternFill>
      </fill>
      <alignment horizontal="general" vertical="center" textRotation="0" wrapText="1" indent="0" justifyLastLine="0" shrinkToFit="0" readingOrder="0"/>
    </dxf>
    <dxf>
      <alignment horizontal="center" vertical="center" textRotation="0" wrapText="1" indent="0" justifyLastLine="0" shrinkToFit="0" readingOrder="0"/>
    </dxf>
    <dxf>
      <font>
        <b val="0"/>
        <i val="0"/>
        <strike val="0"/>
        <condense val="0"/>
        <extend val="0"/>
        <outline val="0"/>
        <shadow val="0"/>
        <u val="none"/>
        <vertAlign val="baseline"/>
        <sz val="10"/>
        <color theme="1"/>
        <name val="ArialMT"/>
        <scheme val="none"/>
      </font>
      <numFmt numFmtId="34" formatCode="_(&quot;$&quot;* #,##0.00_);_(&quot;$&quot;* \(#,##0.00\);_(&quot;$&quot;* &quot;-&quot;??_);_(@_)"/>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numFmt numFmtId="34" formatCode="_(&quot;$&quot;* #,##0.00_);_(&quot;$&quot;* \(#,##0.00\);_(&quot;$&quot;* &quot;-&quot;??_);_(@_)"/>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numFmt numFmtId="34" formatCode="_(&quot;$&quot;* #,##0.00_);_(&quot;$&quot;* \(#,##0.00\);_(&quot;$&quot;* &quot;-&quot;??_);_(@_)"/>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theme="1"/>
        <name val="ArialMT"/>
        <scheme val="none"/>
      </font>
      <numFmt numFmtId="34" formatCode="_(&quot;$&quot;* #,##0.00_);_(&quot;$&quot;* \(#,##0.00\);_(&quot;$&quot;* &quot;-&quot;??_);_(@_)"/>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theme="1"/>
        <name val="ArialMT"/>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fill>
        <patternFill patternType="none">
          <fgColor indexed="64"/>
          <bgColor indexed="65"/>
        </patternFill>
      </fill>
      <alignment horizontal="general" vertical="center" textRotation="0" wrapText="1" indent="0" justifyLastLine="0" shrinkToFit="0" readingOrder="0"/>
    </dxf>
    <dxf>
      <alignment horizontal="center" vertical="center" textRotation="0" wrapText="1" indent="0" justifyLastLine="0" shrinkToFit="0" readingOrder="0"/>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font>
        <b val="0"/>
        <i val="0"/>
        <strike val="0"/>
        <condense val="0"/>
        <extend val="0"/>
        <outline val="0"/>
        <shadow val="0"/>
        <u val="none"/>
        <vertAlign val="baseline"/>
        <sz val="10"/>
        <color theme="1"/>
        <name val="Arial"/>
        <family val="2"/>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35" formatCode="_(* #,##0.00_);_(* \(#,##0.00\);_(* &quot;-&quot;??_);_(@_)"/>
    </dxf>
    <dxf>
      <font>
        <b val="0"/>
        <i val="0"/>
        <strike val="0"/>
        <condense val="0"/>
        <extend val="0"/>
        <outline val="0"/>
        <shadow val="0"/>
        <u val="none"/>
        <vertAlign val="baseline"/>
        <sz val="10"/>
        <color theme="1"/>
        <name val="Arial"/>
        <family val="2"/>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35" formatCode="_(* #,##0.00_);_(* \(#,##0.00\);_(* &quot;-&quot;??_);_(@_)"/>
    </dxf>
    <dxf>
      <font>
        <b val="0"/>
        <i val="0"/>
        <strike val="0"/>
        <condense val="0"/>
        <extend val="0"/>
        <outline val="0"/>
        <shadow val="0"/>
        <u val="none"/>
        <vertAlign val="baseline"/>
        <sz val="10"/>
        <color auto="1"/>
        <name val="ArialMT"/>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MT"/>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MT"/>
        <scheme val="none"/>
      </font>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0"/>
        <color theme="0"/>
        <name val="ArialMT"/>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MT"/>
        <scheme val="none"/>
      </font>
      <numFmt numFmtId="172" formatCode="_(* #,##0.0000_);_(* \(#,##0.0000\);_(* &quot;-&quot;??_);_(@_)"/>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numFmt numFmtId="172" formatCode="_(* #,##0.0000_);_(* \(#,##0.0000\);_(* &quot;-&quot;??_);_(@_)"/>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numFmt numFmtId="35" formatCode="_(* #,##0.00_);_(* \(#,##0.00\);_(* &quot;-&quot;??_);_(@_)"/>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numFmt numFmtId="35" formatCode="_(* #,##0.00_);_(* \(#,##0.00\);_(* &quot;-&quot;??_);_(@_)"/>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numFmt numFmtId="35" formatCode="_(* #,##0.00_);_(* \(#,##0.00\);_(* &quot;-&quot;??_);_(@_)"/>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numFmt numFmtId="35" formatCode="_(* #,##0.00_);_(* \(#,##0.00\);_(* &quot;-&quot;??_);_(@_)"/>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numFmt numFmtId="35" formatCode="_(* #,##0.00_);_(* \(#,##0.00\);_(* &quot;-&quot;??_);_(@_)"/>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numFmt numFmtId="35" formatCode="_(* #,##0.00_);_(* \(#,##0.00\);_(* &quot;-&quot;??_);_(@_)"/>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numFmt numFmtId="35" formatCode="_(* #,##0.00_);_(* \(#,##0.00\);_(* &quot;-&quot;??_);_(@_)"/>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numFmt numFmtId="35" formatCode="_(* #,##0.00_);_(* \(#,##0.00\);_(* &quot;-&quot;??_);_(@_)"/>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numFmt numFmtId="164" formatCode="_(* #,##0_);_(* \(#,##0\);_(* &quot;-&quot;??_);_(@_)"/>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numFmt numFmtId="164" formatCode="_(* #,##0_);_(* \(#,##0\);_(* &quot;-&quot;??_);_(@_)"/>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numFmt numFmtId="0" formatCode="General"/>
      <alignment horizontal="center" vertical="center" textRotation="0" wrapText="1" indent="0" justifyLastLine="0" shrinkToFit="0" readingOrder="0"/>
    </dxf>
    <dxf>
      <font>
        <b val="0"/>
        <i val="0"/>
        <strike val="0"/>
        <condense val="0"/>
        <extend val="0"/>
        <outline val="0"/>
        <shadow val="0"/>
        <u val="none"/>
        <vertAlign val="baseline"/>
        <sz val="10"/>
        <color theme="1"/>
        <name val="ArialMT"/>
        <scheme val="none"/>
      </font>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alignment horizontal="center" vertical="center" textRotation="0" wrapText="1" indent="0" justifyLastLine="0" shrinkToFit="0" readingOrder="0"/>
    </dxf>
    <dxf>
      <font>
        <b val="0"/>
        <i val="0"/>
        <strike val="0"/>
        <condense val="0"/>
        <extend val="0"/>
        <outline val="0"/>
        <shadow val="0"/>
        <u val="none"/>
        <vertAlign val="baseline"/>
        <sz val="10"/>
        <color theme="1"/>
        <name val="ArialMT"/>
        <scheme val="none"/>
      </font>
      <numFmt numFmtId="172" formatCode="_(* #,##0.0000_);_(* \(#,##0.0000\);_(* &quot;-&quot;??_);_(@_)"/>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numFmt numFmtId="172" formatCode="_(* #,##0.0000_);_(* \(#,##0.0000\);_(* &quot;-&quot;??_);_(@_)"/>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numFmt numFmtId="35" formatCode="_(* #,##0.00_);_(* \(#,##0.00\);_(* &quot;-&quot;??_);_(@_)"/>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numFmt numFmtId="35" formatCode="_(* #,##0.00_);_(* \(#,##0.00\);_(* &quot;-&quot;??_);_(@_)"/>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numFmt numFmtId="35" formatCode="_(* #,##0.00_);_(* \(#,##0.00\);_(* &quot;-&quot;??_);_(@_)"/>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numFmt numFmtId="35" formatCode="_(* #,##0.00_);_(* \(#,##0.00\);_(* &quot;-&quot;??_);_(@_)"/>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numFmt numFmtId="35" formatCode="_(* #,##0.00_);_(* \(#,##0.00\);_(* &quot;-&quot;??_);_(@_)"/>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numFmt numFmtId="164" formatCode="_(* #,##0_);_(* \(#,##0\);_(* &quot;-&quot;??_);_(@_)"/>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numFmt numFmtId="164" formatCode="_(* #,##0_);_(* \(#,##0\);_(* &quot;-&quot;??_);_(@_)"/>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numFmt numFmtId="0" formatCode="General"/>
      <alignment horizontal="center" vertical="center" textRotation="0" wrapText="1" indent="0" justifyLastLine="0" shrinkToFit="0" readingOrder="0"/>
    </dxf>
    <dxf>
      <font>
        <b val="0"/>
        <i val="0"/>
        <strike val="0"/>
        <condense val="0"/>
        <extend val="0"/>
        <outline val="0"/>
        <shadow val="0"/>
        <u val="none"/>
        <vertAlign val="baseline"/>
        <sz val="10"/>
        <color theme="1"/>
        <name val="ArialMT"/>
        <scheme val="none"/>
      </font>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alignment horizontal="center" vertical="center" textRotation="0" wrapText="1" indent="0" justifyLastLine="0" shrinkToFit="0" readingOrder="0"/>
    </dxf>
    <dxf>
      <font>
        <b val="0"/>
        <i val="0"/>
        <strike val="0"/>
        <condense val="0"/>
        <extend val="0"/>
        <outline val="0"/>
        <shadow val="0"/>
        <u val="none"/>
        <vertAlign val="baseline"/>
        <sz val="10"/>
        <color theme="1"/>
        <name val="ArialMT"/>
        <scheme val="none"/>
      </font>
      <numFmt numFmtId="34" formatCode="_(&quot;$&quot;* #,##0.00_);_(&quot;$&quot;* \(#,##0.00\);_(&quot;$&quot;* &quot;-&quot;??_);_(@_)"/>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numFmt numFmtId="34" formatCode="_(&quot;$&quot;* #,##0.00_);_(&quot;$&quot;* \(#,##0.00\);_(&quot;$&quot;* &quot;-&quot;??_);_(@_)"/>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numFmt numFmtId="34" formatCode="_(&quot;$&quot;* #,##0.00_);_(&quot;$&quot;* \(#,##0.00\);_(&quot;$&quot;* &quot;-&quot;??_);_(@_)"/>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numFmt numFmtId="34" formatCode="_(&quot;$&quot;* #,##0.00_);_(&quot;$&quot;* \(#,##0.00\);_(&quot;$&quot;* &quot;-&quot;??_);_(@_)"/>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numFmt numFmtId="35" formatCode="_(* #,##0.00_);_(* \(#,##0.00\);_(* &quot;-&quot;??_);_(@_)"/>
      <fill>
        <patternFill patternType="none">
          <fgColor indexed="64"/>
          <bgColor indexed="65"/>
        </patternFill>
      </fill>
      <alignment horizontal="general" vertical="center" textRotation="0" wrapText="1" indent="0" justifyLastLine="0" shrinkToFit="0" readingOrder="0"/>
    </dxf>
    <dxf>
      <numFmt numFmtId="35" formatCode="_(* #,##0.00_);_(* \(#,##0.00\);_(* &quot;-&quot;??_);_(@_)"/>
    </dxf>
    <dxf>
      <font>
        <b val="0"/>
        <i val="0"/>
        <strike val="0"/>
        <condense val="0"/>
        <extend val="0"/>
        <outline val="0"/>
        <shadow val="0"/>
        <u val="none"/>
        <vertAlign val="baseline"/>
        <sz val="10"/>
        <color theme="1"/>
        <name val="ArialMT"/>
        <scheme val="none"/>
      </font>
      <numFmt numFmtId="35" formatCode="_(* #,##0.00_);_(* \(#,##0.00\);_(* &quot;-&quot;??_);_(@_)"/>
      <fill>
        <patternFill patternType="none">
          <fgColor indexed="64"/>
          <bgColor indexed="65"/>
        </patternFill>
      </fill>
      <alignment horizontal="general" vertical="center" textRotation="0" wrapText="1" indent="0" justifyLastLine="0" shrinkToFit="0" readingOrder="0"/>
    </dxf>
    <dxf>
      <numFmt numFmtId="35" formatCode="_(* #,##0.00_);_(* \(#,##0.00\);_(* &quot;-&quot;??_);_(@_)"/>
    </dxf>
    <dxf>
      <font>
        <b/>
        <i val="0"/>
        <strike val="0"/>
        <condense val="0"/>
        <extend val="0"/>
        <outline val="0"/>
        <shadow val="0"/>
        <u val="none"/>
        <vertAlign val="baseline"/>
        <sz val="10"/>
        <color theme="1"/>
        <name val="ArialMT"/>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theme="1"/>
        <name val="ArialMT"/>
        <scheme val="none"/>
      </font>
      <numFmt numFmtId="168" formatCode="[$-409]h:mm\ AM/PM;@"/>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0"/>
        <color rgb="FF000000"/>
        <name val="ArialMT"/>
        <scheme val="none"/>
      </font>
      <fill>
        <patternFill patternType="none">
          <fgColor rgb="FF000000"/>
          <bgColor auto="1"/>
        </patternFill>
      </fill>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MT"/>
        <scheme val="none"/>
      </font>
      <numFmt numFmtId="35" formatCode="_(* #,##0.00_);_(* \(#,##0.00\);_(* &quot;-&quot;??_);_(@_)"/>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numFmt numFmtId="35" formatCode="_(* #,##0.00_);_(* \(#,##0.00\);_(* &quot;-&quot;??_);_(@_)"/>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numFmt numFmtId="35" formatCode="_(* #,##0.00_);_(* \(#,##0.00\);_(* &quot;-&quot;??_);_(@_)"/>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numFmt numFmtId="35" formatCode="_(* #,##0.00_);_(* \(#,##0.00\);_(* &quot;-&quot;??_);_(@_)"/>
      <fill>
        <patternFill patternType="none">
          <fgColor indexed="64"/>
          <bgColor indexed="65"/>
        </patternFill>
      </fill>
      <alignment horizontal="general" vertical="center" textRotation="0" wrapText="1" indent="0" justifyLastLine="0" shrinkToFit="0" readingOrder="0"/>
    </dxf>
    <dxf>
      <border>
        <left style="thin">
          <color rgb="FF7F7F7F"/>
        </left>
      </border>
    </dxf>
    <dxf>
      <font>
        <b val="0"/>
        <i val="0"/>
        <strike val="0"/>
        <condense val="0"/>
        <extend val="0"/>
        <outline val="0"/>
        <shadow val="0"/>
        <u val="none"/>
        <vertAlign val="baseline"/>
        <sz val="10"/>
        <color theme="1"/>
        <name val="ArialMT"/>
        <scheme val="none"/>
      </font>
      <fill>
        <patternFill patternType="none">
          <fgColor indexed="64"/>
          <bgColor indexed="65"/>
        </patternFill>
      </fill>
      <alignment horizontal="general" vertical="center" textRotation="0" wrapText="1" indent="0" justifyLastLine="0" shrinkToFit="0" readingOrder="0"/>
    </dxf>
    <dxf>
      <numFmt numFmtId="13" formatCode="0%"/>
      <alignment horizontal="center" vertical="center" textRotation="0" wrapText="0" indent="0" justifyLastLine="0" shrinkToFit="0" readingOrder="0"/>
      <border outline="0">
        <left style="thin">
          <color rgb="FF7F7F7F"/>
        </left>
      </border>
    </dxf>
    <dxf>
      <font>
        <b val="0"/>
        <i val="0"/>
        <strike val="0"/>
        <condense val="0"/>
        <extend val="0"/>
        <outline val="0"/>
        <shadow val="0"/>
        <u val="none"/>
        <vertAlign val="baseline"/>
        <sz val="10"/>
        <color theme="1"/>
        <name val="ArialMT"/>
        <scheme val="none"/>
      </font>
      <fill>
        <patternFill patternType="none">
          <fgColor indexed="64"/>
          <bgColor indexed="65"/>
        </patternFill>
      </fill>
      <alignment horizontal="general" vertical="center" textRotation="0" wrapText="1" indent="0" justifyLastLine="0" shrinkToFit="0" readingOrder="0"/>
    </dxf>
    <dxf>
      <numFmt numFmtId="13" formatCode="0%"/>
      <alignment horizontal="center" vertical="center" textRotation="0" wrapText="0" indent="0" justifyLastLine="0" shrinkToFit="0" readingOrder="0"/>
      <border>
        <right style="thin">
          <color rgb="FF7F7F7F"/>
        </right>
      </border>
    </dxf>
    <dxf>
      <font>
        <b/>
        <i val="0"/>
        <strike val="0"/>
        <condense val="0"/>
        <extend val="0"/>
        <outline val="0"/>
        <shadow val="0"/>
        <u val="none"/>
        <vertAlign val="baseline"/>
        <sz val="10"/>
        <color theme="1"/>
        <name val="ArialMT"/>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theme="1"/>
        <name val="ArialMT"/>
        <scheme val="none"/>
      </font>
      <numFmt numFmtId="168" formatCode="[$-409]h:mm\ AM/PM;@"/>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0"/>
        <color rgb="FF000000"/>
        <name val="ArialMT"/>
        <scheme val="none"/>
      </font>
      <fill>
        <patternFill patternType="none">
          <fgColor rgb="FF000000"/>
          <bgColor auto="1"/>
        </patternFill>
      </fill>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MT"/>
        <scheme val="none"/>
      </font>
      <numFmt numFmtId="35" formatCode="_(* #,##0.00_);_(* \(#,##0.00\);_(* &quot;-&quot;??_);_(@_)"/>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numFmt numFmtId="35" formatCode="_(* #,##0.00_);_(* \(#,##0.00\);_(* &quot;-&quot;??_);_(@_)"/>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numFmt numFmtId="35" formatCode="_(* #,##0.00_);_(* \(#,##0.00\);_(* &quot;-&quot;??_);_(@_)"/>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numFmt numFmtId="35" formatCode="_(* #,##0.00_);_(* \(#,##0.00\);_(* &quot;-&quot;??_);_(@_)"/>
      <fill>
        <patternFill patternType="none">
          <fgColor indexed="64"/>
          <bgColor indexed="65"/>
        </patternFill>
      </fill>
      <alignment horizontal="general" vertical="center" textRotation="0" wrapText="1" indent="0" justifyLastLine="0" shrinkToFit="0" readingOrder="0"/>
    </dxf>
    <dxf>
      <border>
        <left style="thin">
          <color rgb="FF7F7F7F"/>
        </left>
      </border>
    </dxf>
    <dxf>
      <font>
        <b val="0"/>
        <i val="0"/>
        <strike val="0"/>
        <condense val="0"/>
        <extend val="0"/>
        <outline val="0"/>
        <shadow val="0"/>
        <u val="none"/>
        <vertAlign val="baseline"/>
        <sz val="10"/>
        <color theme="1"/>
        <name val="ArialMT"/>
        <scheme val="none"/>
      </font>
      <fill>
        <patternFill patternType="none">
          <fgColor indexed="64"/>
          <bgColor indexed="65"/>
        </patternFill>
      </fill>
      <alignment horizontal="general" vertical="center" textRotation="0" wrapText="1" indent="0" justifyLastLine="0" shrinkToFit="0" readingOrder="0"/>
    </dxf>
    <dxf>
      <numFmt numFmtId="13" formatCode="0%"/>
      <alignment horizontal="center" vertical="center" textRotation="0" wrapText="0" indent="0" justifyLastLine="0" shrinkToFit="0" readingOrder="0"/>
      <border outline="0">
        <left style="thin">
          <color rgb="FF7F7F7F"/>
        </left>
      </border>
    </dxf>
    <dxf>
      <font>
        <b val="0"/>
        <i val="0"/>
        <strike val="0"/>
        <condense val="0"/>
        <extend val="0"/>
        <outline val="0"/>
        <shadow val="0"/>
        <u val="none"/>
        <vertAlign val="baseline"/>
        <sz val="10"/>
        <color theme="1"/>
        <name val="ArialMT"/>
        <scheme val="none"/>
      </font>
      <fill>
        <patternFill patternType="none">
          <fgColor indexed="64"/>
          <bgColor indexed="65"/>
        </patternFill>
      </fill>
      <alignment horizontal="general" vertical="center" textRotation="0" wrapText="1" indent="0" justifyLastLine="0" shrinkToFit="0" readingOrder="0"/>
    </dxf>
    <dxf>
      <numFmt numFmtId="13" formatCode="0%"/>
      <alignment horizontal="center" vertical="center" textRotation="0" wrapText="0" indent="0" justifyLastLine="0" shrinkToFit="0" readingOrder="0"/>
      <border>
        <right style="thin">
          <color rgb="FF7F7F7F"/>
        </right>
      </border>
    </dxf>
    <dxf>
      <font>
        <b/>
        <i val="0"/>
        <strike val="0"/>
        <condense val="0"/>
        <extend val="0"/>
        <outline val="0"/>
        <shadow val="0"/>
        <u val="none"/>
        <vertAlign val="baseline"/>
        <sz val="10"/>
        <color theme="1"/>
        <name val="ArialMT"/>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theme="1"/>
        <name val="ArialMT"/>
        <scheme val="none"/>
      </font>
      <numFmt numFmtId="168" formatCode="[$-409]h:mm\ AM/PM;@"/>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0"/>
        <color rgb="FF000000"/>
        <name val="ArialMT"/>
        <scheme val="none"/>
      </font>
      <fill>
        <patternFill patternType="none">
          <fgColor rgb="FF000000"/>
          <bgColor auto="1"/>
        </patternFill>
      </fill>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fill>
        <patternFill patternType="none">
          <fgColor indexed="64"/>
          <bgColor auto="1"/>
        </patternFill>
      </fill>
      <alignment horizontal="center" vertical="center" textRotation="0" wrapText="1" indent="0" justifyLastLine="0" shrinkToFit="0" readingOrder="0"/>
    </dxf>
    <dxf>
      <numFmt numFmtId="175" formatCode="_(* #,##0.000_);_(* \(#,##0.000\);_(* &quot;-&quot;??_);_(@_)"/>
    </dxf>
    <dxf>
      <font>
        <b val="0"/>
        <i val="0"/>
        <strike val="0"/>
        <condense val="0"/>
        <extend val="0"/>
        <outline val="0"/>
        <shadow val="0"/>
        <u val="none"/>
        <vertAlign val="baseline"/>
        <sz val="10"/>
        <color rgb="FF3F3F76"/>
        <name val="ArialMT"/>
        <scheme val="none"/>
      </font>
      <numFmt numFmtId="174" formatCode="#,##0.000"/>
      <alignment horizontal="general" vertical="center" textRotation="0" wrapText="1" indent="0" justifyLastLine="0" shrinkToFit="0" readingOrder="0"/>
    </dxf>
    <dxf>
      <numFmt numFmtId="35" formatCode="_(* #,##0.00_);_(* \(#,##0.00\);_(* &quot;-&quot;??_);_(@_)"/>
    </dxf>
    <dxf>
      <font>
        <b val="0"/>
        <i val="0"/>
        <strike val="0"/>
        <condense val="0"/>
        <extend val="0"/>
        <outline val="0"/>
        <shadow val="0"/>
        <u val="none"/>
        <vertAlign val="baseline"/>
        <sz val="10"/>
        <color rgb="FF3F3F76"/>
        <name val="ArialMT"/>
        <scheme val="none"/>
      </font>
      <numFmt numFmtId="3" formatCode="#,##0"/>
      <alignment horizontal="general" vertical="center" textRotation="0" wrapText="1" indent="0" justifyLastLine="0" shrinkToFit="0" readingOrder="0"/>
    </dxf>
    <dxf>
      <numFmt numFmtId="35" formatCode="_(* #,##0.00_);_(* \(#,##0.00\);_(* &quot;-&quot;??_);_(@_)"/>
    </dxf>
    <dxf>
      <font>
        <b val="0"/>
        <i val="0"/>
        <strike val="0"/>
        <condense val="0"/>
        <extend val="0"/>
        <outline val="0"/>
        <shadow val="0"/>
        <u val="none"/>
        <vertAlign val="baseline"/>
        <sz val="10"/>
        <color rgb="FF3F3F76"/>
        <name val="ArialMT"/>
        <scheme val="none"/>
      </font>
      <numFmt numFmtId="3" formatCode="#,##0"/>
      <alignment horizontal="general" vertical="center" textRotation="0" wrapText="1" indent="0" justifyLastLine="0" shrinkToFit="0" readingOrder="0"/>
    </dxf>
    <dxf>
      <numFmt numFmtId="35" formatCode="_(* #,##0.00_);_(* \(#,##0.00\);_(* &quot;-&quot;??_);_(@_)"/>
    </dxf>
    <dxf>
      <font>
        <b val="0"/>
        <i val="0"/>
        <strike val="0"/>
        <condense val="0"/>
        <extend val="0"/>
        <outline val="0"/>
        <shadow val="0"/>
        <u val="none"/>
        <vertAlign val="baseline"/>
        <sz val="10"/>
        <color rgb="FF3F3F76"/>
        <name val="ArialMT"/>
        <scheme val="none"/>
      </font>
      <numFmt numFmtId="3" formatCode="#,##0"/>
      <alignment horizontal="general" vertical="center" textRotation="0" wrapText="1" indent="0" justifyLastLine="0" shrinkToFit="0" readingOrder="0"/>
    </dxf>
    <dxf>
      <numFmt numFmtId="35" formatCode="_(* #,##0.00_);_(* \(#,##0.00\);_(* &quot;-&quot;??_);_(@_)"/>
    </dxf>
    <dxf>
      <font>
        <b val="0"/>
        <i val="0"/>
        <strike val="0"/>
        <condense val="0"/>
        <extend val="0"/>
        <outline val="0"/>
        <shadow val="0"/>
        <u val="none"/>
        <vertAlign val="baseline"/>
        <sz val="10"/>
        <color rgb="FF3F3F76"/>
        <name val="ArialMT"/>
        <scheme val="none"/>
      </font>
      <numFmt numFmtId="3" formatCode="#,##0"/>
      <alignment horizontal="general" vertical="center" textRotation="0" wrapText="1" indent="0" justifyLastLine="0" shrinkToFit="0" readingOrder="0"/>
    </dxf>
    <dxf>
      <numFmt numFmtId="35" formatCode="_(* #,##0.00_);_(* \(#,##0.00\);_(* &quot;-&quot;??_);_(@_)"/>
    </dxf>
    <dxf>
      <font>
        <b val="0"/>
        <i val="0"/>
        <strike val="0"/>
        <condense val="0"/>
        <extend val="0"/>
        <outline val="0"/>
        <shadow val="0"/>
        <u val="none"/>
        <vertAlign val="baseline"/>
        <sz val="10"/>
        <color rgb="FF3F3F76"/>
        <name val="ArialMT"/>
        <scheme val="none"/>
      </font>
      <numFmt numFmtId="3" formatCode="#,##0"/>
      <alignment horizontal="general" vertical="center" textRotation="0" wrapText="1" indent="0" justifyLastLine="0" shrinkToFit="0" readingOrder="0"/>
    </dxf>
    <dxf>
      <font>
        <b/>
        <i val="0"/>
        <strike val="0"/>
        <condense val="0"/>
        <extend val="0"/>
        <outline val="0"/>
        <shadow val="0"/>
        <u val="none"/>
        <vertAlign val="baseline"/>
        <sz val="10"/>
        <color theme="1"/>
        <name val="ArialMT"/>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10"/>
        <color theme="1"/>
        <name val="ArialMT"/>
        <scheme val="none"/>
      </font>
      <numFmt numFmtId="168" formatCode="[$-409]h:mm\ AM/PM;@"/>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0"/>
        <color rgb="FF3F3F76"/>
        <name val="ArialMT"/>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MT"/>
        <scheme val="none"/>
      </font>
      <alignment horizontal="center" vertical="center" textRotation="0" wrapText="1" indent="0" justifyLastLine="0" shrinkToFit="0" readingOrder="0"/>
    </dxf>
    <dxf>
      <numFmt numFmtId="175" formatCode="_(* #,##0.000_);_(* \(#,##0.000\);_(* &quot;-&quot;??_);_(@_)"/>
    </dxf>
    <dxf>
      <font>
        <b val="0"/>
        <i val="0"/>
        <strike val="0"/>
        <condense val="0"/>
        <extend val="0"/>
        <outline val="0"/>
        <shadow val="0"/>
        <u val="none"/>
        <vertAlign val="baseline"/>
        <sz val="10"/>
        <color rgb="FF3F3F76"/>
        <name val="ArialMT"/>
        <scheme val="none"/>
      </font>
      <numFmt numFmtId="174" formatCode="#,##0.000"/>
      <alignment horizontal="general" vertical="center" textRotation="0" wrapText="1" indent="0" justifyLastLine="0" shrinkToFit="0" readingOrder="0"/>
    </dxf>
    <dxf>
      <numFmt numFmtId="35" formatCode="_(* #,##0.00_);_(* \(#,##0.00\);_(* &quot;-&quot;??_);_(@_)"/>
    </dxf>
    <dxf>
      <font>
        <b val="0"/>
        <i val="0"/>
        <strike val="0"/>
        <condense val="0"/>
        <extend val="0"/>
        <outline val="0"/>
        <shadow val="0"/>
        <u val="none"/>
        <vertAlign val="baseline"/>
        <sz val="10"/>
        <color rgb="FF3F3F76"/>
        <name val="ArialMT"/>
        <scheme val="none"/>
      </font>
      <numFmt numFmtId="3" formatCode="#,##0"/>
      <alignment horizontal="general" vertical="center" textRotation="0" wrapText="1" indent="0" justifyLastLine="0" shrinkToFit="0" readingOrder="0"/>
    </dxf>
    <dxf>
      <numFmt numFmtId="35" formatCode="_(* #,##0.00_);_(* \(#,##0.00\);_(* &quot;-&quot;??_);_(@_)"/>
    </dxf>
    <dxf>
      <font>
        <b val="0"/>
        <i val="0"/>
        <strike val="0"/>
        <condense val="0"/>
        <extend val="0"/>
        <outline val="0"/>
        <shadow val="0"/>
        <u val="none"/>
        <vertAlign val="baseline"/>
        <sz val="10"/>
        <color rgb="FF3F3F76"/>
        <name val="ArialMT"/>
        <scheme val="none"/>
      </font>
      <numFmt numFmtId="3" formatCode="#,##0"/>
      <alignment horizontal="general" vertical="center" textRotation="0" wrapText="1" indent="0" justifyLastLine="0" shrinkToFit="0" readingOrder="0"/>
    </dxf>
    <dxf>
      <numFmt numFmtId="35" formatCode="_(* #,##0.00_);_(* \(#,##0.00\);_(* &quot;-&quot;??_);_(@_)"/>
    </dxf>
    <dxf>
      <font>
        <b val="0"/>
        <i val="0"/>
        <strike val="0"/>
        <condense val="0"/>
        <extend val="0"/>
        <outline val="0"/>
        <shadow val="0"/>
        <u val="none"/>
        <vertAlign val="baseline"/>
        <sz val="10"/>
        <color rgb="FF3F3F76"/>
        <name val="ArialMT"/>
        <scheme val="none"/>
      </font>
      <numFmt numFmtId="3" formatCode="#,##0"/>
      <alignment horizontal="general" vertical="center" textRotation="0" wrapText="1" indent="0" justifyLastLine="0" shrinkToFit="0" readingOrder="0"/>
    </dxf>
    <dxf>
      <numFmt numFmtId="35" formatCode="_(* #,##0.00_);_(* \(#,##0.00\);_(* &quot;-&quot;??_);_(@_)"/>
    </dxf>
    <dxf>
      <font>
        <b val="0"/>
        <i val="0"/>
        <strike val="0"/>
        <condense val="0"/>
        <extend val="0"/>
        <outline val="0"/>
        <shadow val="0"/>
        <u val="none"/>
        <vertAlign val="baseline"/>
        <sz val="10"/>
        <color rgb="FF3F3F76"/>
        <name val="ArialMT"/>
        <scheme val="none"/>
      </font>
      <numFmt numFmtId="3" formatCode="#,##0"/>
      <alignment horizontal="general" vertical="center" textRotation="0" wrapText="1" indent="0" justifyLastLine="0" shrinkToFit="0" readingOrder="0"/>
    </dxf>
    <dxf>
      <numFmt numFmtId="35" formatCode="_(* #,##0.00_);_(* \(#,##0.00\);_(* &quot;-&quot;??_);_(@_)"/>
    </dxf>
    <dxf>
      <font>
        <b val="0"/>
        <i val="0"/>
        <strike val="0"/>
        <condense val="0"/>
        <extend val="0"/>
        <outline val="0"/>
        <shadow val="0"/>
        <u val="none"/>
        <vertAlign val="baseline"/>
        <sz val="10"/>
        <color rgb="FF3F3F76"/>
        <name val="ArialMT"/>
        <scheme val="none"/>
      </font>
      <numFmt numFmtId="3" formatCode="#,##0"/>
      <alignment horizontal="general" vertical="center" textRotation="0" wrapText="1" indent="0" justifyLastLine="0" shrinkToFit="0" readingOrder="0"/>
    </dxf>
    <dxf>
      <font>
        <b/>
        <i val="0"/>
        <strike val="0"/>
        <condense val="0"/>
        <extend val="0"/>
        <outline val="0"/>
        <shadow val="0"/>
        <u val="none"/>
        <vertAlign val="baseline"/>
        <sz val="10"/>
        <color theme="1"/>
        <name val="ArialMT"/>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10"/>
        <color theme="1"/>
        <name val="ArialMT"/>
        <scheme val="none"/>
      </font>
      <numFmt numFmtId="168" formatCode="[$-409]h:mm\ AM/PM;@"/>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0"/>
        <color rgb="FF3F3F76"/>
        <name val="ArialMT"/>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MT"/>
        <scheme val="none"/>
      </font>
      <alignment horizontal="center" vertical="center" textRotation="0" wrapText="1" indent="0" justifyLastLine="0" shrinkToFit="0" readingOrder="0"/>
    </dxf>
    <dxf>
      <font>
        <b val="0"/>
        <i val="0"/>
        <strike val="0"/>
        <condense val="0"/>
        <extend val="0"/>
        <outline val="0"/>
        <shadow val="0"/>
        <u val="none"/>
        <vertAlign val="baseline"/>
        <sz val="10"/>
        <color theme="1"/>
        <name val="ArialMT"/>
        <scheme val="none"/>
      </font>
      <numFmt numFmtId="34" formatCode="_(&quot;$&quot;* #,##0.00_);_(&quot;$&quot;* \(#,##0.00\);_(&quot;$&quot;* &quot;-&quot;??_);_(@_)"/>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numFmt numFmtId="34" formatCode="_(&quot;$&quot;* #,##0.00_);_(&quot;$&quot;* \(#,##0.00\);_(&quot;$&quot;* &quot;-&quot;??_);_(@_)"/>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numFmt numFmtId="34" formatCode="_(&quot;$&quot;* #,##0.00_);_(&quot;$&quot;* \(#,##0.00\);_(&quot;$&quot;* &quot;-&quot;??_);_(@_)"/>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numFmt numFmtId="34" formatCode="_(&quot;$&quot;* #,##0.00_);_(&quot;$&quot;* \(#,##0.00\);_(&quot;$&quot;* &quot;-&quot;??_);_(@_)"/>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fill>
        <patternFill patternType="none">
          <fgColor indexed="64"/>
          <bgColor indexed="65"/>
        </patternFill>
      </fill>
      <alignment horizontal="general" vertical="center" textRotation="0" wrapText="1" indent="0" justifyLastLine="0" shrinkToFit="0" readingOrder="0"/>
    </dxf>
    <dxf>
      <numFmt numFmtId="35" formatCode="_(* #,##0.00_);_(* \(#,##0.00\);_(* &quot;-&quot;??_);_(@_)"/>
    </dxf>
    <dxf>
      <font>
        <b val="0"/>
        <i val="0"/>
        <strike val="0"/>
        <condense val="0"/>
        <extend val="0"/>
        <outline val="0"/>
        <shadow val="0"/>
        <u val="none"/>
        <vertAlign val="baseline"/>
        <sz val="10"/>
        <color theme="1"/>
        <name val="ArialMT"/>
        <scheme val="none"/>
      </font>
      <fill>
        <patternFill patternType="none">
          <fgColor indexed="64"/>
          <bgColor indexed="65"/>
        </patternFill>
      </fill>
      <alignment horizontal="general" vertical="center" textRotation="0" wrapText="1" indent="0" justifyLastLine="0" shrinkToFit="0" readingOrder="0"/>
    </dxf>
    <dxf>
      <numFmt numFmtId="35" formatCode="_(* #,##0.00_);_(* \(#,##0.00\);_(* &quot;-&quot;??_);_(@_)"/>
    </dxf>
    <dxf>
      <font>
        <b/>
        <i val="0"/>
        <strike val="0"/>
        <condense val="0"/>
        <extend val="0"/>
        <outline val="0"/>
        <shadow val="0"/>
        <u val="none"/>
        <vertAlign val="baseline"/>
        <sz val="10"/>
        <color theme="1"/>
        <name val="ArialMT"/>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theme="1"/>
        <name val="ArialMT"/>
        <scheme val="none"/>
      </font>
      <numFmt numFmtId="168" formatCode="[$-409]h:mm\ AM/PM;@"/>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ArialMT"/>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MT"/>
        <scheme val="none"/>
      </font>
      <numFmt numFmtId="35" formatCode="_(* #,##0.00_);_(* \(#,##0.00\);_(* &quot;-&quot;??_);_(@_)"/>
      <fill>
        <patternFill patternType="none">
          <fgColor indexed="64"/>
          <bgColor indexed="65"/>
        </patternFill>
      </fill>
      <alignment horizontal="left" vertical="center" textRotation="0" wrapText="1" indent="0" justifyLastLine="0" shrinkToFit="0" readingOrder="0"/>
    </dxf>
    <dxf>
      <numFmt numFmtId="35" formatCode="_(* #,##0.00_);_(* \(#,##0.00\);_(* &quot;-&quot;??_);_(@_)"/>
    </dxf>
    <dxf>
      <font>
        <b val="0"/>
        <i val="0"/>
        <strike val="0"/>
        <condense val="0"/>
        <extend val="0"/>
        <outline val="0"/>
        <shadow val="0"/>
        <u val="none"/>
        <vertAlign val="baseline"/>
        <sz val="10"/>
        <color theme="1"/>
        <name val="ArialMT"/>
        <scheme val="none"/>
      </font>
      <numFmt numFmtId="35" formatCode="_(* #,##0.00_);_(* \(#,##0.00\);_(* &quot;-&quot;??_);_(@_)"/>
      <fill>
        <patternFill patternType="none">
          <fgColor indexed="64"/>
          <bgColor indexed="65"/>
        </patternFill>
      </fill>
      <alignment horizontal="left" vertical="center" textRotation="0" wrapText="1" indent="0" justifyLastLine="0" shrinkToFit="0" readingOrder="0"/>
    </dxf>
    <dxf>
      <numFmt numFmtId="1" formatCode="0"/>
    </dxf>
    <dxf>
      <font>
        <b val="0"/>
        <i val="0"/>
        <strike val="0"/>
        <condense val="0"/>
        <extend val="0"/>
        <outline val="0"/>
        <shadow val="0"/>
        <u val="none"/>
        <vertAlign val="baseline"/>
        <sz val="10"/>
        <color theme="1"/>
        <name val="ArialMT"/>
        <scheme val="none"/>
      </font>
      <numFmt numFmtId="35" formatCode="_(* #,##0.00_);_(* \(#,##0.00\);_(* &quot;-&quot;??_);_(@_)"/>
      <fill>
        <patternFill patternType="none">
          <fgColor indexed="64"/>
          <bgColor indexed="65"/>
        </patternFill>
      </fill>
      <alignment horizontal="left" vertical="center" textRotation="0" wrapText="1" indent="0" justifyLastLine="0" shrinkToFit="0" readingOrder="0"/>
    </dxf>
    <dxf>
      <numFmt numFmtId="35" formatCode="_(* #,##0.00_);_(* \(#,##0.00\);_(* &quot;-&quot;??_);_(@_)"/>
      <border outline="0">
        <left style="thin">
          <color rgb="FF7F7F7F"/>
        </left>
      </border>
    </dxf>
    <dxf>
      <font>
        <b val="0"/>
        <i val="0"/>
        <strike val="0"/>
        <condense val="0"/>
        <extend val="0"/>
        <outline val="0"/>
        <shadow val="0"/>
        <u val="none"/>
        <vertAlign val="baseline"/>
        <sz val="10"/>
        <color theme="1"/>
        <name val="ArialMT"/>
        <scheme val="none"/>
      </font>
      <numFmt numFmtId="35" formatCode="_(* #,##0.00_);_(* \(#,##0.00\);_(* &quot;-&quot;??_);_(@_)"/>
      <fill>
        <patternFill patternType="none">
          <fgColor indexed="64"/>
          <bgColor indexed="65"/>
        </patternFill>
      </fill>
      <alignment horizontal="left" vertical="center" textRotation="0" wrapText="1" indent="0" justifyLastLine="0" shrinkToFit="0" readingOrder="0"/>
    </dxf>
    <dxf>
      <numFmt numFmtId="164" formatCode="_(* #,##0_);_(* \(#,##0\);_(* &quot;-&quot;??_);_(@_)"/>
      <border outline="0">
        <left style="thin">
          <color rgb="FF7F7F7F"/>
        </left>
      </border>
    </dxf>
    <dxf>
      <font>
        <b val="0"/>
        <i val="0"/>
        <strike val="0"/>
        <condense val="0"/>
        <extend val="0"/>
        <outline val="0"/>
        <shadow val="0"/>
        <u val="none"/>
        <vertAlign val="baseline"/>
        <sz val="10"/>
        <color theme="1"/>
        <name val="ArialMT"/>
        <scheme val="none"/>
      </font>
      <fill>
        <patternFill patternType="none">
          <fgColor indexed="64"/>
          <bgColor indexed="65"/>
        </patternFill>
      </fill>
      <alignment horizontal="left" vertical="center" textRotation="0" wrapText="1" indent="0" justifyLastLine="0" shrinkToFit="0" readingOrder="0"/>
    </dxf>
    <dxf>
      <numFmt numFmtId="13" formatCode="0%"/>
      <alignment horizontal="center" vertical="center" textRotation="0" wrapText="0" indent="0" justifyLastLine="0" shrinkToFit="0" readingOrder="0"/>
      <border outline="0">
        <left style="thin">
          <color rgb="FF7F7F7F"/>
        </left>
        <right style="thin">
          <color rgb="FF7F7F7F"/>
        </right>
      </border>
    </dxf>
    <dxf>
      <font>
        <b val="0"/>
        <i val="0"/>
        <strike val="0"/>
        <condense val="0"/>
        <extend val="0"/>
        <outline val="0"/>
        <shadow val="0"/>
        <u val="none"/>
        <vertAlign val="baseline"/>
        <sz val="10"/>
        <color theme="1"/>
        <name val="ArialMT"/>
        <scheme val="none"/>
      </font>
      <fill>
        <patternFill patternType="none">
          <fgColor indexed="64"/>
          <bgColor indexed="65"/>
        </patternFill>
      </fill>
      <alignment horizontal="left" vertical="center" textRotation="0" wrapText="1" indent="0" justifyLastLine="0" shrinkToFit="0" readingOrder="0"/>
    </dxf>
    <dxf>
      <numFmt numFmtId="13" formatCode="0%"/>
      <alignment horizontal="center" vertical="center" textRotation="0" wrapText="0" indent="0" justifyLastLine="0" shrinkToFit="0" readingOrder="0"/>
      <border>
        <right style="thin">
          <color rgb="FF7F7F7F"/>
        </right>
      </border>
    </dxf>
    <dxf>
      <font>
        <b/>
        <i val="0"/>
        <strike val="0"/>
        <condense val="0"/>
        <extend val="0"/>
        <outline val="0"/>
        <shadow val="0"/>
        <u val="none"/>
        <vertAlign val="baseline"/>
        <sz val="10"/>
        <color theme="1"/>
        <name val="ArialMT"/>
        <scheme val="none"/>
      </font>
      <fill>
        <patternFill patternType="none">
          <fgColor indexed="64"/>
          <bgColor indexed="65"/>
        </patternFill>
      </fill>
      <alignment horizontal="left" vertical="center" textRotation="0" wrapText="1" indent="0" justifyLastLine="0" shrinkToFit="0" readingOrder="0"/>
    </dxf>
    <dxf>
      <font>
        <b/>
        <i val="0"/>
        <strike val="0"/>
        <condense val="0"/>
        <extend val="0"/>
        <outline val="0"/>
        <shadow val="0"/>
        <u val="none"/>
        <vertAlign val="baseline"/>
        <sz val="10"/>
        <color theme="1"/>
        <name val="ArialMT"/>
        <scheme val="none"/>
      </font>
      <numFmt numFmtId="168" formatCode="[$-409]h:mm\ AM/PM;@"/>
      <fill>
        <patternFill patternType="none">
          <fgColor indexed="64"/>
          <bgColor indexed="65"/>
        </patternFill>
      </fill>
      <alignment horizontal="general" vertical="bottom" textRotation="0" wrapText="1" indent="0" justifyLastLine="0" shrinkToFit="0" readingOrder="0"/>
    </dxf>
    <dxf>
      <alignment horizontal="left" textRotation="0" indent="0" justifyLastLine="0" shrinkToFit="0" readingOrder="0"/>
    </dxf>
    <dxf>
      <font>
        <b val="0"/>
        <i val="0"/>
        <strike val="0"/>
        <condense val="0"/>
        <extend val="0"/>
        <outline val="0"/>
        <shadow val="0"/>
        <u val="none"/>
        <vertAlign val="baseline"/>
        <sz val="10"/>
        <color theme="1"/>
        <name val="ArialMT"/>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MT"/>
        <scheme val="none"/>
      </font>
      <numFmt numFmtId="35" formatCode="_(* #,##0.00_);_(* \(#,##0.00\);_(* &quot;-&quot;??_);_(@_)"/>
      <fill>
        <patternFill patternType="none">
          <fgColor indexed="64"/>
          <bgColor indexed="65"/>
        </patternFill>
      </fill>
      <alignment horizontal="general" vertical="center" textRotation="0" wrapText="1" indent="0" justifyLastLine="0" shrinkToFit="0" readingOrder="0"/>
    </dxf>
    <dxf>
      <numFmt numFmtId="35" formatCode="_(* #,##0.00_);_(* \(#,##0.00\);_(* &quot;-&quot;??_);_(@_)"/>
    </dxf>
    <dxf>
      <font>
        <b val="0"/>
        <i val="0"/>
        <strike val="0"/>
        <condense val="0"/>
        <extend val="0"/>
        <outline val="0"/>
        <shadow val="0"/>
        <u val="none"/>
        <vertAlign val="baseline"/>
        <sz val="10"/>
        <color theme="1"/>
        <name val="ArialMT"/>
        <scheme val="none"/>
      </font>
      <numFmt numFmtId="35" formatCode="_(* #,##0.00_);_(* \(#,##0.00\);_(* &quot;-&quot;??_);_(@_)"/>
      <fill>
        <patternFill patternType="none">
          <fgColor indexed="64"/>
          <bgColor indexed="65"/>
        </patternFill>
      </fill>
      <alignment horizontal="general" vertical="center" textRotation="0" wrapText="1" indent="0" justifyLastLine="0" shrinkToFit="0" readingOrder="0"/>
    </dxf>
    <dxf>
      <numFmt numFmtId="1" formatCode="0"/>
    </dxf>
    <dxf>
      <font>
        <b val="0"/>
        <i val="0"/>
        <strike val="0"/>
        <condense val="0"/>
        <extend val="0"/>
        <outline val="0"/>
        <shadow val="0"/>
        <u val="none"/>
        <vertAlign val="baseline"/>
        <sz val="10"/>
        <color theme="1"/>
        <name val="ArialMT"/>
        <scheme val="none"/>
      </font>
      <numFmt numFmtId="35" formatCode="_(* #,##0.00_);_(* \(#,##0.00\);_(* &quot;-&quot;??_);_(@_)"/>
      <fill>
        <patternFill patternType="none">
          <fgColor indexed="64"/>
          <bgColor indexed="65"/>
        </patternFill>
      </fill>
      <alignment horizontal="general" vertical="center" textRotation="0" wrapText="1" indent="0" justifyLastLine="0" shrinkToFit="0" readingOrder="0"/>
    </dxf>
    <dxf>
      <numFmt numFmtId="35" formatCode="_(* #,##0.00_);_(* \(#,##0.00\);_(* &quot;-&quot;??_);_(@_)"/>
      <border outline="0">
        <left style="thin">
          <color rgb="FF7F7F7F"/>
        </left>
      </border>
    </dxf>
    <dxf>
      <font>
        <b val="0"/>
        <i val="0"/>
        <strike val="0"/>
        <condense val="0"/>
        <extend val="0"/>
        <outline val="0"/>
        <shadow val="0"/>
        <u val="none"/>
        <vertAlign val="baseline"/>
        <sz val="10"/>
        <color theme="1"/>
        <name val="ArialMT"/>
        <scheme val="none"/>
      </font>
      <numFmt numFmtId="35" formatCode="_(* #,##0.00_);_(* \(#,##0.00\);_(* &quot;-&quot;??_);_(@_)"/>
      <fill>
        <patternFill patternType="none">
          <fgColor indexed="64"/>
          <bgColor indexed="65"/>
        </patternFill>
      </fill>
      <alignment horizontal="general" vertical="center" textRotation="0" wrapText="1" indent="0" justifyLastLine="0" shrinkToFit="0" readingOrder="0"/>
    </dxf>
    <dxf>
      <numFmt numFmtId="164" formatCode="_(* #,##0_);_(* \(#,##0\);_(* &quot;-&quot;??_);_(@_)"/>
      <border outline="0">
        <left style="thin">
          <color rgb="FF7F7F7F"/>
        </left>
      </border>
    </dxf>
    <dxf>
      <font>
        <b val="0"/>
        <i val="0"/>
        <strike val="0"/>
        <condense val="0"/>
        <extend val="0"/>
        <outline val="0"/>
        <shadow val="0"/>
        <u val="none"/>
        <vertAlign val="baseline"/>
        <sz val="10"/>
        <color theme="1"/>
        <name val="ArialMT"/>
        <scheme val="none"/>
      </font>
      <fill>
        <patternFill patternType="none">
          <fgColor indexed="64"/>
          <bgColor indexed="65"/>
        </patternFill>
      </fill>
      <alignment horizontal="general" vertical="center" textRotation="0" wrapText="1" indent="0" justifyLastLine="0" shrinkToFit="0" readingOrder="0"/>
    </dxf>
    <dxf>
      <numFmt numFmtId="13" formatCode="0%"/>
      <alignment horizontal="center" vertical="center" textRotation="0" wrapText="0" indent="0" justifyLastLine="0" shrinkToFit="0" readingOrder="0"/>
      <border outline="0">
        <left style="thin">
          <color rgb="FF7F7F7F"/>
        </left>
        <right style="thin">
          <color rgb="FF7F7F7F"/>
        </right>
      </border>
    </dxf>
    <dxf>
      <font>
        <b val="0"/>
        <i val="0"/>
        <strike val="0"/>
        <condense val="0"/>
        <extend val="0"/>
        <outline val="0"/>
        <shadow val="0"/>
        <u val="none"/>
        <vertAlign val="baseline"/>
        <sz val="10"/>
        <color theme="1"/>
        <name val="ArialMT"/>
        <scheme val="none"/>
      </font>
      <fill>
        <patternFill patternType="none">
          <fgColor indexed="64"/>
          <bgColor indexed="65"/>
        </patternFill>
      </fill>
      <alignment horizontal="general" vertical="center" textRotation="0" wrapText="1" indent="0" justifyLastLine="0" shrinkToFit="0" readingOrder="0"/>
    </dxf>
    <dxf>
      <numFmt numFmtId="13" formatCode="0%"/>
      <alignment horizontal="center" vertical="center" textRotation="0" wrapText="0" indent="0" justifyLastLine="0" shrinkToFit="0" readingOrder="0"/>
      <border outline="0">
        <right style="thin">
          <color rgb="FF7F7F7F"/>
        </right>
      </border>
    </dxf>
    <dxf>
      <font>
        <b/>
        <i val="0"/>
        <strike val="0"/>
        <condense val="0"/>
        <extend val="0"/>
        <outline val="0"/>
        <shadow val="0"/>
        <u val="none"/>
        <vertAlign val="baseline"/>
        <sz val="10"/>
        <color theme="1"/>
        <name val="ArialMT"/>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theme="1"/>
        <name val="ArialMT"/>
        <scheme val="none"/>
      </font>
      <numFmt numFmtId="168" formatCode="[$-409]h:mm\ AM/PM;@"/>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ArialMT"/>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fill>
        <patternFill patternType="none">
          <fgColor indexed="64"/>
          <bgColor auto="1"/>
        </patternFill>
      </fill>
      <alignment horizontal="center" vertical="center" textRotation="0" wrapText="1" indent="0" justifyLastLine="0" shrinkToFit="0" readingOrder="0"/>
    </dxf>
    <dxf>
      <numFmt numFmtId="175" formatCode="_(* #,##0.000_);_(* \(#,##0.000\);_(* &quot;-&quot;??_);_(@_)"/>
    </dxf>
    <dxf>
      <font>
        <b val="0"/>
        <i val="0"/>
        <strike val="0"/>
        <condense val="0"/>
        <extend val="0"/>
        <outline val="0"/>
        <shadow val="0"/>
        <u val="none"/>
        <vertAlign val="baseline"/>
        <sz val="10"/>
        <color rgb="FF3F3F76"/>
        <name val="ArialMT"/>
        <scheme val="none"/>
      </font>
      <numFmt numFmtId="174" formatCode="#,##0.000"/>
      <alignment horizontal="general" vertical="center" textRotation="0" wrapText="1" indent="0" justifyLastLine="0" shrinkToFit="0" readingOrder="0"/>
    </dxf>
    <dxf>
      <numFmt numFmtId="35" formatCode="_(* #,##0.00_);_(* \(#,##0.00\);_(* &quot;-&quot;??_);_(@_)"/>
    </dxf>
    <dxf>
      <font>
        <b val="0"/>
        <i val="0"/>
        <strike val="0"/>
        <condense val="0"/>
        <extend val="0"/>
        <outline val="0"/>
        <shadow val="0"/>
        <u val="none"/>
        <vertAlign val="baseline"/>
        <sz val="10"/>
        <color rgb="FF3F3F76"/>
        <name val="ArialMT"/>
        <scheme val="none"/>
      </font>
      <numFmt numFmtId="3" formatCode="#,##0"/>
      <alignment horizontal="general" vertical="center" textRotation="0" wrapText="1" indent="0" justifyLastLine="0" shrinkToFit="0" readingOrder="0"/>
    </dxf>
    <dxf>
      <numFmt numFmtId="35" formatCode="_(* #,##0.00_);_(* \(#,##0.00\);_(* &quot;-&quot;??_);_(@_)"/>
    </dxf>
    <dxf>
      <font>
        <b val="0"/>
        <i val="0"/>
        <strike val="0"/>
        <condense val="0"/>
        <extend val="0"/>
        <outline val="0"/>
        <shadow val="0"/>
        <u val="none"/>
        <vertAlign val="baseline"/>
        <sz val="10"/>
        <color rgb="FF3F3F76"/>
        <name val="ArialMT"/>
        <scheme val="none"/>
      </font>
      <numFmt numFmtId="3" formatCode="#,##0"/>
      <alignment horizontal="general" vertical="center" textRotation="0" wrapText="1" indent="0" justifyLastLine="0" shrinkToFit="0" readingOrder="0"/>
    </dxf>
    <dxf>
      <numFmt numFmtId="35" formatCode="_(* #,##0.00_);_(* \(#,##0.00\);_(* &quot;-&quot;??_);_(@_)"/>
    </dxf>
    <dxf>
      <font>
        <b val="0"/>
        <i val="0"/>
        <strike val="0"/>
        <condense val="0"/>
        <extend val="0"/>
        <outline val="0"/>
        <shadow val="0"/>
        <u val="none"/>
        <vertAlign val="baseline"/>
        <sz val="10"/>
        <color rgb="FF3F3F76"/>
        <name val="ArialMT"/>
        <scheme val="none"/>
      </font>
      <numFmt numFmtId="3" formatCode="#,##0"/>
      <alignment horizontal="general" vertical="center" textRotation="0" wrapText="1" indent="0" justifyLastLine="0" shrinkToFit="0" readingOrder="0"/>
    </dxf>
    <dxf>
      <numFmt numFmtId="35" formatCode="_(* #,##0.00_);_(* \(#,##0.00\);_(* &quot;-&quot;??_);_(@_)"/>
    </dxf>
    <dxf>
      <font>
        <b val="0"/>
        <i val="0"/>
        <strike val="0"/>
        <condense val="0"/>
        <extend val="0"/>
        <outline val="0"/>
        <shadow val="0"/>
        <u val="none"/>
        <vertAlign val="baseline"/>
        <sz val="10"/>
        <color rgb="FF3F3F76"/>
        <name val="ArialMT"/>
        <scheme val="none"/>
      </font>
      <numFmt numFmtId="3" formatCode="#,##0"/>
      <alignment horizontal="general" vertical="center" textRotation="0" wrapText="1" indent="0" justifyLastLine="0" shrinkToFit="0" readingOrder="0"/>
    </dxf>
    <dxf>
      <numFmt numFmtId="35" formatCode="_(* #,##0.00_);_(* \(#,##0.00\);_(* &quot;-&quot;??_);_(@_)"/>
    </dxf>
    <dxf>
      <font>
        <b val="0"/>
        <i val="0"/>
        <strike val="0"/>
        <condense val="0"/>
        <extend val="0"/>
        <outline val="0"/>
        <shadow val="0"/>
        <u val="none"/>
        <vertAlign val="baseline"/>
        <sz val="10"/>
        <color rgb="FF3F3F76"/>
        <name val="ArialMT"/>
        <scheme val="none"/>
      </font>
      <numFmt numFmtId="3" formatCode="#,##0"/>
      <alignment horizontal="general" vertical="center" textRotation="0" wrapText="1" indent="0" justifyLastLine="0" shrinkToFit="0" readingOrder="0"/>
    </dxf>
    <dxf>
      <font>
        <b/>
        <i val="0"/>
        <strike val="0"/>
        <condense val="0"/>
        <extend val="0"/>
        <outline val="0"/>
        <shadow val="0"/>
        <u val="none"/>
        <vertAlign val="baseline"/>
        <sz val="10"/>
        <color theme="1"/>
        <name val="ArialMT"/>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10"/>
        <color theme="1"/>
        <name val="ArialMT"/>
        <scheme val="none"/>
      </font>
      <numFmt numFmtId="168" formatCode="[$-409]h:mm\ AM/PM;@"/>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0"/>
        <color rgb="FF3F3F76"/>
        <name val="ArialMT"/>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MT"/>
        <scheme val="none"/>
      </font>
      <alignment horizontal="center" vertical="center" textRotation="0" wrapText="1" indent="0" justifyLastLine="0" shrinkToFit="0" readingOrder="0"/>
    </dxf>
    <dxf>
      <numFmt numFmtId="175" formatCode="_(* #,##0.000_);_(* \(#,##0.000\);_(* &quot;-&quot;??_);_(@_)"/>
    </dxf>
    <dxf>
      <font>
        <b val="0"/>
        <i val="0"/>
        <strike val="0"/>
        <condense val="0"/>
        <extend val="0"/>
        <outline val="0"/>
        <shadow val="0"/>
        <u val="none"/>
        <vertAlign val="baseline"/>
        <sz val="10"/>
        <color rgb="FF3F3F76"/>
        <name val="ArialMT"/>
        <scheme val="none"/>
      </font>
      <numFmt numFmtId="174" formatCode="#,##0.000"/>
      <alignment horizontal="general" vertical="center" textRotation="0" wrapText="1" indent="0" justifyLastLine="0" shrinkToFit="0" readingOrder="0"/>
    </dxf>
    <dxf>
      <numFmt numFmtId="35" formatCode="_(* #,##0.00_);_(* \(#,##0.00\);_(* &quot;-&quot;??_);_(@_)"/>
    </dxf>
    <dxf>
      <font>
        <b val="0"/>
        <i val="0"/>
        <strike val="0"/>
        <condense val="0"/>
        <extend val="0"/>
        <outline val="0"/>
        <shadow val="0"/>
        <u val="none"/>
        <vertAlign val="baseline"/>
        <sz val="10"/>
        <color rgb="FF3F3F76"/>
        <name val="ArialMT"/>
        <scheme val="none"/>
      </font>
      <numFmt numFmtId="3" formatCode="#,##0"/>
      <alignment horizontal="general" vertical="center" textRotation="0" wrapText="1" indent="0" justifyLastLine="0" shrinkToFit="0" readingOrder="0"/>
    </dxf>
    <dxf>
      <numFmt numFmtId="35" formatCode="_(* #,##0.00_);_(* \(#,##0.00\);_(* &quot;-&quot;??_);_(@_)"/>
    </dxf>
    <dxf>
      <font>
        <b val="0"/>
        <i val="0"/>
        <strike val="0"/>
        <condense val="0"/>
        <extend val="0"/>
        <outline val="0"/>
        <shadow val="0"/>
        <u val="none"/>
        <vertAlign val="baseline"/>
        <sz val="10"/>
        <color rgb="FF3F3F76"/>
        <name val="ArialMT"/>
        <scheme val="none"/>
      </font>
      <numFmt numFmtId="3" formatCode="#,##0"/>
      <alignment horizontal="general" vertical="center" textRotation="0" wrapText="1" indent="0" justifyLastLine="0" shrinkToFit="0" readingOrder="0"/>
    </dxf>
    <dxf>
      <numFmt numFmtId="35" formatCode="_(* #,##0.00_);_(* \(#,##0.00\);_(* &quot;-&quot;??_);_(@_)"/>
    </dxf>
    <dxf>
      <font>
        <b val="0"/>
        <i val="0"/>
        <strike val="0"/>
        <condense val="0"/>
        <extend val="0"/>
        <outline val="0"/>
        <shadow val="0"/>
        <u val="none"/>
        <vertAlign val="baseline"/>
        <sz val="10"/>
        <color rgb="FF3F3F76"/>
        <name val="ArialMT"/>
        <scheme val="none"/>
      </font>
      <numFmt numFmtId="3" formatCode="#,##0"/>
      <alignment horizontal="general" vertical="center" textRotation="0" wrapText="1" indent="0" justifyLastLine="0" shrinkToFit="0" readingOrder="0"/>
    </dxf>
    <dxf>
      <numFmt numFmtId="35" formatCode="_(* #,##0.00_);_(* \(#,##0.00\);_(* &quot;-&quot;??_);_(@_)"/>
    </dxf>
    <dxf>
      <font>
        <b val="0"/>
        <i val="0"/>
        <strike val="0"/>
        <condense val="0"/>
        <extend val="0"/>
        <outline val="0"/>
        <shadow val="0"/>
        <u val="none"/>
        <vertAlign val="baseline"/>
        <sz val="10"/>
        <color rgb="FF3F3F76"/>
        <name val="ArialMT"/>
        <scheme val="none"/>
      </font>
      <numFmt numFmtId="3" formatCode="#,##0"/>
      <alignment horizontal="general" vertical="center" textRotation="0" wrapText="1" indent="0" justifyLastLine="0" shrinkToFit="0" readingOrder="0"/>
    </dxf>
    <dxf>
      <numFmt numFmtId="35" formatCode="_(* #,##0.00_);_(* \(#,##0.00\);_(* &quot;-&quot;??_);_(@_)"/>
    </dxf>
    <dxf>
      <font>
        <b val="0"/>
        <i val="0"/>
        <strike val="0"/>
        <condense val="0"/>
        <extend val="0"/>
        <outline val="0"/>
        <shadow val="0"/>
        <u val="none"/>
        <vertAlign val="baseline"/>
        <sz val="10"/>
        <color rgb="FF3F3F76"/>
        <name val="ArialMT"/>
        <scheme val="none"/>
      </font>
      <numFmt numFmtId="3" formatCode="#,##0"/>
      <alignment horizontal="general" vertical="center" textRotation="0" wrapText="1" indent="0" justifyLastLine="0" shrinkToFit="0" readingOrder="0"/>
    </dxf>
    <dxf>
      <font>
        <b/>
        <i val="0"/>
        <strike val="0"/>
        <condense val="0"/>
        <extend val="0"/>
        <outline val="0"/>
        <shadow val="0"/>
        <u val="none"/>
        <vertAlign val="baseline"/>
        <sz val="10"/>
        <color theme="1"/>
        <name val="ArialMT"/>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10"/>
        <color theme="1"/>
        <name val="ArialMT"/>
        <scheme val="none"/>
      </font>
      <numFmt numFmtId="168" formatCode="[$-409]h:mm\ AM/PM;@"/>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0"/>
        <color rgb="FF3F3F76"/>
        <name val="ArialMT"/>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MT"/>
        <scheme val="none"/>
      </font>
      <alignment horizontal="center" vertical="center" textRotation="0" wrapText="1" indent="0" justifyLastLine="0" shrinkToFit="0" readingOrder="0"/>
    </dxf>
    <dxf>
      <font>
        <b val="0"/>
        <i val="0"/>
        <strike val="0"/>
        <condense val="0"/>
        <extend val="0"/>
        <outline val="0"/>
        <shadow val="0"/>
        <u val="none"/>
        <vertAlign val="baseline"/>
        <sz val="10"/>
        <color theme="1"/>
        <name val="ArialMT"/>
        <scheme val="none"/>
      </font>
      <numFmt numFmtId="35" formatCode="_(* #,##0.00_);_(* \(#,##0.00\);_(* &quot;-&quot;??_);_(@_)"/>
      <fill>
        <patternFill patternType="none">
          <fgColor indexed="64"/>
          <bgColor indexed="65"/>
        </patternFill>
      </fill>
      <alignment horizontal="general" vertical="center" textRotation="0" wrapText="1" indent="0" justifyLastLine="0" shrinkToFit="0" readingOrder="0"/>
    </dxf>
    <dxf>
      <numFmt numFmtId="35" formatCode="_(* #,##0.00_);_(* \(#,##0.00\);_(* &quot;-&quot;??_);_(@_)"/>
    </dxf>
    <dxf>
      <font>
        <b val="0"/>
        <i val="0"/>
        <strike val="0"/>
        <condense val="0"/>
        <extend val="0"/>
        <outline val="0"/>
        <shadow val="0"/>
        <u val="none"/>
        <vertAlign val="baseline"/>
        <sz val="10"/>
        <color theme="1"/>
        <name val="ArialMT"/>
        <scheme val="none"/>
      </font>
      <numFmt numFmtId="35" formatCode="_(* #,##0.00_);_(* \(#,##0.00\);_(* &quot;-&quot;??_);_(@_)"/>
      <fill>
        <patternFill patternType="none">
          <fgColor indexed="64"/>
          <bgColor indexed="65"/>
        </patternFill>
      </fill>
      <alignment horizontal="general" vertical="center" textRotation="0" wrapText="1" indent="0" justifyLastLine="0" shrinkToFit="0" readingOrder="0"/>
    </dxf>
    <dxf>
      <numFmt numFmtId="1" formatCode="0"/>
    </dxf>
    <dxf>
      <font>
        <b val="0"/>
        <i val="0"/>
        <strike val="0"/>
        <condense val="0"/>
        <extend val="0"/>
        <outline val="0"/>
        <shadow val="0"/>
        <u val="none"/>
        <vertAlign val="baseline"/>
        <sz val="10"/>
        <color theme="1"/>
        <name val="ArialMT"/>
        <scheme val="none"/>
      </font>
      <numFmt numFmtId="35" formatCode="_(* #,##0.00_);_(* \(#,##0.00\);_(* &quot;-&quot;??_);_(@_)"/>
      <fill>
        <patternFill patternType="none">
          <fgColor indexed="64"/>
          <bgColor indexed="65"/>
        </patternFill>
      </fill>
      <alignment horizontal="general" vertical="center" textRotation="0" wrapText="1" indent="0" justifyLastLine="0" shrinkToFit="0" readingOrder="0"/>
    </dxf>
    <dxf>
      <numFmt numFmtId="35" formatCode="_(* #,##0.00_);_(* \(#,##0.00\);_(* &quot;-&quot;??_);_(@_)"/>
      <border outline="0">
        <left style="thin">
          <color rgb="FF7F7F7F"/>
        </left>
      </border>
    </dxf>
    <dxf>
      <font>
        <b val="0"/>
        <i val="0"/>
        <strike val="0"/>
        <condense val="0"/>
        <extend val="0"/>
        <outline val="0"/>
        <shadow val="0"/>
        <u val="none"/>
        <vertAlign val="baseline"/>
        <sz val="10"/>
        <color theme="1"/>
        <name val="ArialMT"/>
        <scheme val="none"/>
      </font>
      <numFmt numFmtId="35" formatCode="_(* #,##0.00_);_(* \(#,##0.00\);_(* &quot;-&quot;??_);_(@_)"/>
      <fill>
        <patternFill patternType="none">
          <fgColor indexed="64"/>
          <bgColor indexed="65"/>
        </patternFill>
      </fill>
      <alignment horizontal="general" vertical="center" textRotation="0" wrapText="1" indent="0" justifyLastLine="0" shrinkToFit="0" readingOrder="0"/>
    </dxf>
    <dxf>
      <numFmt numFmtId="164" formatCode="_(* #,##0_);_(* \(#,##0\);_(* &quot;-&quot;??_);_(@_)"/>
      <border outline="0">
        <left style="thin">
          <color rgb="FF7F7F7F"/>
        </left>
      </border>
    </dxf>
    <dxf>
      <font>
        <b val="0"/>
        <i val="0"/>
        <strike val="0"/>
        <condense val="0"/>
        <extend val="0"/>
        <outline val="0"/>
        <shadow val="0"/>
        <u val="none"/>
        <vertAlign val="baseline"/>
        <sz val="10"/>
        <color theme="1"/>
        <name val="ArialMT"/>
        <scheme val="none"/>
      </font>
      <numFmt numFmtId="13" formatCode="0%"/>
      <fill>
        <patternFill patternType="none">
          <fgColor indexed="64"/>
          <bgColor indexed="65"/>
        </patternFill>
      </fill>
      <alignment horizontal="general" vertical="center" textRotation="0" wrapText="1" indent="0" justifyLastLine="0" shrinkToFit="0" readingOrder="0"/>
    </dxf>
    <dxf>
      <numFmt numFmtId="13" formatCode="0%"/>
      <alignment horizontal="center" vertical="center" textRotation="0" wrapText="0" indent="0" justifyLastLine="0" shrinkToFit="0" readingOrder="0"/>
      <border outline="0">
        <left style="thin">
          <color rgb="FF7F7F7F"/>
        </left>
        <right style="thin">
          <color rgb="FF7F7F7F"/>
        </right>
      </border>
    </dxf>
    <dxf>
      <font>
        <b val="0"/>
        <i val="0"/>
        <strike val="0"/>
        <condense val="0"/>
        <extend val="0"/>
        <outline val="0"/>
        <shadow val="0"/>
        <u val="none"/>
        <vertAlign val="baseline"/>
        <sz val="10"/>
        <color theme="1"/>
        <name val="ArialMT"/>
        <scheme val="none"/>
      </font>
      <numFmt numFmtId="13" formatCode="0%"/>
      <fill>
        <patternFill patternType="none">
          <fgColor indexed="64"/>
          <bgColor indexed="65"/>
        </patternFill>
      </fill>
      <alignment horizontal="general" vertical="center" textRotation="0" wrapText="1" indent="0" justifyLastLine="0" shrinkToFit="0" readingOrder="0"/>
    </dxf>
    <dxf>
      <numFmt numFmtId="13" formatCode="0%"/>
      <alignment horizontal="center" vertical="center" textRotation="0" wrapText="0" indent="0" justifyLastLine="0" shrinkToFit="0" readingOrder="0"/>
      <border>
        <right style="thin">
          <color rgb="FF7F7F7F"/>
        </right>
      </border>
    </dxf>
    <dxf>
      <font>
        <b/>
        <i val="0"/>
        <strike val="0"/>
        <condense val="0"/>
        <extend val="0"/>
        <outline val="0"/>
        <shadow val="0"/>
        <u val="none"/>
        <vertAlign val="baseline"/>
        <sz val="10"/>
        <color theme="1"/>
        <name val="ArialMT"/>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theme="1"/>
        <name val="ArialMT"/>
        <scheme val="none"/>
      </font>
      <numFmt numFmtId="168" formatCode="[$-409]h:mm\ AM/PM;@"/>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ArialMT"/>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fill>
        <patternFill patternType="none">
          <fgColor indexed="64"/>
          <bgColor auto="1"/>
        </patternFill>
      </fill>
      <alignment horizontal="center" vertical="center" textRotation="0" wrapText="1" indent="0" justifyLastLine="0" shrinkToFit="0" readingOrder="0"/>
    </dxf>
    <dxf>
      <numFmt numFmtId="175" formatCode="_(* #,##0.000_);_(* \(#,##0.000\);_(* &quot;-&quot;??_);_(@_)"/>
      <alignment horizontal="general" vertical="bottom" textRotation="0" wrapText="1" indent="0" justifyLastLine="0" shrinkToFit="0" readingOrder="0"/>
    </dxf>
    <dxf>
      <font>
        <b val="0"/>
        <i val="0"/>
        <strike val="0"/>
        <condense val="0"/>
        <extend val="0"/>
        <outline val="0"/>
        <shadow val="0"/>
        <u val="none"/>
        <vertAlign val="baseline"/>
        <sz val="10"/>
        <color rgb="FF3F3F76"/>
        <name val="ArialMT"/>
        <scheme val="none"/>
      </font>
      <numFmt numFmtId="174" formatCode="#,##0.000"/>
      <alignment horizontal="right" vertical="center" textRotation="0" wrapText="1" indent="0" justifyLastLine="0" shrinkToFit="0" readingOrder="0"/>
    </dxf>
    <dxf>
      <numFmt numFmtId="35" formatCode="_(* #,##0.00_);_(* \(#,##0.00\);_(* &quot;-&quot;??_);_(@_)"/>
      <alignment horizontal="general" vertical="bottom" textRotation="0" wrapText="1" indent="0" justifyLastLine="0" shrinkToFit="0" readingOrder="0"/>
    </dxf>
    <dxf>
      <font>
        <b val="0"/>
        <i val="0"/>
        <strike val="0"/>
        <condense val="0"/>
        <extend val="0"/>
        <outline val="0"/>
        <shadow val="0"/>
        <u val="none"/>
        <vertAlign val="baseline"/>
        <sz val="10"/>
        <color rgb="FF3F3F76"/>
        <name val="ArialMT"/>
        <scheme val="none"/>
      </font>
      <numFmt numFmtId="3" formatCode="#,##0"/>
      <alignment horizontal="right" vertical="center" textRotation="0" wrapText="1" indent="0" justifyLastLine="0" shrinkToFit="0" readingOrder="0"/>
    </dxf>
    <dxf>
      <numFmt numFmtId="35" formatCode="_(* #,##0.00_);_(* \(#,##0.00\);_(* &quot;-&quot;??_);_(@_)"/>
      <alignment horizontal="general" vertical="bottom" textRotation="0" wrapText="1" indent="0" justifyLastLine="0" shrinkToFit="0" readingOrder="0"/>
    </dxf>
    <dxf>
      <font>
        <b val="0"/>
        <i val="0"/>
        <strike val="0"/>
        <condense val="0"/>
        <extend val="0"/>
        <outline val="0"/>
        <shadow val="0"/>
        <u val="none"/>
        <vertAlign val="baseline"/>
        <sz val="10"/>
        <color rgb="FF3F3F76"/>
        <name val="ArialMT"/>
        <scheme val="none"/>
      </font>
      <numFmt numFmtId="3" formatCode="#,##0"/>
      <alignment horizontal="right" vertical="center" textRotation="0" wrapText="1" indent="0" justifyLastLine="0" shrinkToFit="0" readingOrder="0"/>
    </dxf>
    <dxf>
      <numFmt numFmtId="35" formatCode="_(* #,##0.00_);_(* \(#,##0.00\);_(* &quot;-&quot;??_);_(@_)"/>
      <alignment horizontal="general" vertical="bottom" textRotation="0" wrapText="1" indent="0" justifyLastLine="0" shrinkToFit="0" readingOrder="0"/>
    </dxf>
    <dxf>
      <font>
        <b val="0"/>
        <i val="0"/>
        <strike val="0"/>
        <condense val="0"/>
        <extend val="0"/>
        <outline val="0"/>
        <shadow val="0"/>
        <u val="none"/>
        <vertAlign val="baseline"/>
        <sz val="10"/>
        <color rgb="FF3F3F76"/>
        <name val="ArialMT"/>
        <scheme val="none"/>
      </font>
      <numFmt numFmtId="3" formatCode="#,##0"/>
      <alignment horizontal="right" vertical="center" textRotation="0" wrapText="1" indent="0" justifyLastLine="0" shrinkToFit="0" readingOrder="0"/>
    </dxf>
    <dxf>
      <numFmt numFmtId="35" formatCode="_(* #,##0.00_);_(* \(#,##0.00\);_(* &quot;-&quot;??_);_(@_)"/>
      <alignment horizontal="general" vertical="bottom" textRotation="0" wrapText="1" indent="0" justifyLastLine="0" shrinkToFit="0" readingOrder="0"/>
    </dxf>
    <dxf>
      <font>
        <b val="0"/>
        <i val="0"/>
        <strike val="0"/>
        <condense val="0"/>
        <extend val="0"/>
        <outline val="0"/>
        <shadow val="0"/>
        <u val="none"/>
        <vertAlign val="baseline"/>
        <sz val="10"/>
        <color rgb="FF3F3F76"/>
        <name val="ArialMT"/>
        <scheme val="none"/>
      </font>
      <numFmt numFmtId="3" formatCode="#,##0"/>
      <alignment horizontal="right" vertical="center" textRotation="0" wrapText="1" indent="0" justifyLastLine="0" shrinkToFit="0" readingOrder="0"/>
    </dxf>
    <dxf>
      <numFmt numFmtId="35" formatCode="_(* #,##0.00_);_(* \(#,##0.00\);_(* &quot;-&quot;??_);_(@_)"/>
      <alignment horizontal="general" vertical="bottom" textRotation="0" wrapText="1" indent="0" justifyLastLine="0" shrinkToFit="0" readingOrder="0"/>
    </dxf>
    <dxf>
      <font>
        <b val="0"/>
        <i val="0"/>
        <strike val="0"/>
        <condense val="0"/>
        <extend val="0"/>
        <outline val="0"/>
        <shadow val="0"/>
        <u val="none"/>
        <vertAlign val="baseline"/>
        <sz val="10"/>
        <color rgb="FF3F3F76"/>
        <name val="ArialMT"/>
        <scheme val="none"/>
      </font>
      <numFmt numFmtId="3" formatCode="#,##0"/>
      <alignment horizontal="right" vertical="center" textRotation="0" wrapText="1" indent="0" justifyLastLine="0" shrinkToFit="0" readingOrder="0"/>
    </dxf>
    <dxf>
      <font>
        <b/>
        <i val="0"/>
        <strike val="0"/>
        <condense val="0"/>
        <extend val="0"/>
        <outline val="0"/>
        <shadow val="0"/>
        <u val="none"/>
        <vertAlign val="baseline"/>
        <sz val="10"/>
        <color theme="1"/>
        <name val="ArialMT"/>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10"/>
        <color theme="1"/>
        <name val="ArialMT"/>
        <scheme val="none"/>
      </font>
      <numFmt numFmtId="168" formatCode="[$-409]h:mm\ AM/PM;@"/>
      <fill>
        <patternFill patternType="none">
          <fgColor indexed="64"/>
          <bgColor indexed="65"/>
        </patternFill>
      </fill>
      <alignment horizontal="general" vertical="bottom" textRotation="0" wrapText="1" indent="0" justifyLastLine="0" shrinkToFit="0" readingOrder="0"/>
    </dxf>
    <dxf>
      <alignment textRotation="0" wrapText="1" indent="0" justifyLastLine="0" shrinkToFit="0" readingOrder="0"/>
    </dxf>
    <dxf>
      <font>
        <b val="0"/>
        <i val="0"/>
        <strike val="0"/>
        <condense val="0"/>
        <extend val="0"/>
        <outline val="0"/>
        <shadow val="0"/>
        <u val="none"/>
        <vertAlign val="baseline"/>
        <sz val="10"/>
        <color rgb="FF3F3F76"/>
        <name val="ArialMT"/>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MT"/>
        <scheme val="none"/>
      </font>
      <alignment horizontal="center" vertical="center" textRotation="0" wrapText="1" indent="0" justifyLastLine="0" shrinkToFit="0" readingOrder="0"/>
      <border diagonalUp="0" diagonalDown="0" outline="0">
        <left style="thin">
          <color indexed="64"/>
        </left>
        <right style="thin">
          <color indexed="64"/>
        </right>
        <top/>
        <bottom/>
      </border>
    </dxf>
    <dxf>
      <numFmt numFmtId="34" formatCode="_(&quot;$&quot;* #,##0.00_);_(&quot;$&quot;* \(#,##0.00\);_(&quot;$&quot;* &quot;-&quot;??_);_(@_)"/>
    </dxf>
    <dxf>
      <font>
        <b val="0"/>
        <i val="0"/>
        <strike val="0"/>
        <condense val="0"/>
        <extend val="0"/>
        <outline val="0"/>
        <shadow val="0"/>
        <u val="none"/>
        <vertAlign val="baseline"/>
        <sz val="10"/>
        <color theme="1"/>
        <name val="ArialMT"/>
        <scheme val="none"/>
      </font>
      <numFmt numFmtId="34" formatCode="_(&quot;$&quot;* #,##0.00_);_(&quot;$&quot;* \(#,##0.00\);_(&quot;$&quot;* &quot;-&quot;??_);_(@_)"/>
      <alignment horizontal="general" vertical="center" textRotation="0" wrapText="0" indent="0" justifyLastLine="0" shrinkToFit="0" readingOrder="0"/>
    </dxf>
    <dxf>
      <font>
        <b val="0"/>
        <i val="0"/>
        <strike val="0"/>
        <condense val="0"/>
        <extend val="0"/>
        <outline val="0"/>
        <shadow val="0"/>
        <u val="none"/>
        <vertAlign val="baseline"/>
        <sz val="10"/>
        <color theme="1"/>
        <name val="Arial"/>
        <family val="2"/>
        <scheme val="none"/>
      </font>
    </dxf>
    <dxf>
      <numFmt numFmtId="35" formatCode="_(* #,##0.00_);_(* \(#,##0.00\);_(* &quot;-&quot;??_);_(@_)"/>
    </dxf>
    <dxf>
      <numFmt numFmtId="35" formatCode="_(* #,##0.00_);_(* \(#,##0.00\);_(* &quot;-&quot;??_);_(@_)"/>
    </dxf>
    <dxf>
      <font>
        <b val="0"/>
        <i val="0"/>
        <strike val="0"/>
        <condense val="0"/>
        <extend val="0"/>
        <outline val="0"/>
        <shadow val="0"/>
        <u val="none"/>
        <vertAlign val="baseline"/>
        <sz val="10"/>
        <color theme="1"/>
        <name val="ArialMT"/>
        <scheme val="none"/>
      </font>
      <alignment horizontal="general" vertical="center" textRotation="0" wrapText="0" indent="0" justifyLastLine="0" shrinkToFit="0" readingOrder="0"/>
    </dxf>
    <dxf>
      <numFmt numFmtId="35" formatCode="_(* #,##0.00_);_(* \(#,##0.00\);_(* &quot;-&quot;??_);_(@_)"/>
    </dxf>
    <dxf>
      <font>
        <b val="0"/>
        <i val="0"/>
        <strike val="0"/>
        <condense val="0"/>
        <extend val="0"/>
        <outline val="0"/>
        <shadow val="0"/>
        <u val="none"/>
        <vertAlign val="baseline"/>
        <sz val="10"/>
        <color theme="1"/>
        <name val="ArialMT"/>
        <scheme val="none"/>
      </font>
      <alignment horizontal="general" vertical="center" textRotation="0" wrapText="0" indent="0" justifyLastLine="0" shrinkToFit="0" readingOrder="0"/>
    </dxf>
    <dxf>
      <numFmt numFmtId="35" formatCode="_(* #,##0.00_);_(* \(#,##0.00\);_(* &quot;-&quot;??_);_(@_)"/>
    </dxf>
    <dxf>
      <numFmt numFmtId="35" formatCode="_(* #,##0.00_);_(* \(#,##0.00\);_(* &quot;-&quot;??_);_(@_)"/>
    </dxf>
    <dxf>
      <font>
        <b val="0"/>
        <i val="0"/>
        <strike val="0"/>
        <condense val="0"/>
        <extend val="0"/>
        <outline val="0"/>
        <shadow val="0"/>
        <u val="none"/>
        <vertAlign val="baseline"/>
        <sz val="10"/>
        <color theme="1"/>
        <name val="ArialMT"/>
        <scheme val="none"/>
      </font>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alignment horizontal="center" vertical="center" textRotation="0" wrapText="1" indent="0" justifyLastLine="0" shrinkToFit="0" readingOrder="0"/>
    </dxf>
    <dxf>
      <alignment horizontal="general" vertical="bottom" textRotation="0" wrapText="1" indent="0" justifyLastLine="0" shrinkToFit="0" readingOrder="0"/>
    </dxf>
    <dxf>
      <numFmt numFmtId="35" formatCode="_(* #,##0.00_);_(* \(#,##0.00\);_(* &quot;-&quot;??_);_(@_)"/>
      <alignment horizontal="general" vertical="bottom" textRotation="0" wrapText="1" indent="0" justifyLastLine="0" shrinkToFit="0" readingOrder="0"/>
    </dxf>
    <dxf>
      <numFmt numFmtId="34" formatCode="_(&quot;$&quot;* #,##0.00_);_(&quot;$&quot;* \(#,##0.00\);_(&quot;$&quot;* &quot;-&quot;??_);_(@_)"/>
      <alignment horizontal="general" vertical="bottom" textRotation="0" wrapText="1" indent="0" justifyLastLine="0" shrinkToFit="0" readingOrder="0"/>
    </dxf>
    <dxf>
      <alignment horizontal="general" vertical="bottom" textRotation="0" wrapText="1" indent="0" justifyLastLine="0" shrinkToFit="0" readingOrder="0"/>
    </dxf>
    <dxf>
      <numFmt numFmtId="0" formatCode="General"/>
      <alignment horizontal="general" vertical="bottom" textRotation="0" wrapText="1" indent="0" justifyLastLine="0" shrinkToFit="0" readingOrder="0"/>
    </dxf>
    <dxf>
      <alignment horizontal="general" vertical="bottom" textRotation="0" wrapText="1" indent="0" justifyLastLine="0" shrinkToFit="0" readingOrder="0"/>
    </dxf>
    <dxf>
      <numFmt numFmtId="0" formatCode="General"/>
      <alignment horizontal="general" vertical="bottom" textRotation="0" wrapText="1" indent="0" justifyLastLine="0" shrinkToFit="0" readingOrder="0"/>
    </dxf>
    <dxf>
      <alignment horizontal="general" vertical="bottom" textRotation="0" wrapText="1" indent="0" justifyLastLine="0" shrinkToFit="0" readingOrder="0"/>
    </dxf>
    <dxf>
      <numFmt numFmtId="0" formatCode="General"/>
      <alignment horizontal="general" vertical="bottom" textRotation="0" wrapText="1" indent="0" justifyLastLine="0" shrinkToFit="0" readingOrder="0"/>
    </dxf>
    <dxf>
      <alignment horizontal="general" vertical="bottom" textRotation="0" wrapText="1" indent="0" justifyLastLine="0" shrinkToFit="0" readingOrder="0"/>
    </dxf>
    <dxf>
      <numFmt numFmtId="0" formatCode="General"/>
      <alignment horizontal="general" vertical="bottom" textRotation="0" wrapText="1" indent="0" justifyLastLine="0" shrinkToFit="0" readingOrder="0"/>
    </dxf>
    <dxf>
      <alignment horizontal="general" vertical="bottom" textRotation="0" wrapText="1" indent="0" justifyLastLine="0" shrinkToFit="0" readingOrder="0"/>
    </dxf>
    <dxf>
      <numFmt numFmtId="0" formatCode="General"/>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center" vertical="center" textRotation="0" wrapText="1" indent="0" justifyLastLine="0" shrinkToFit="0" readingOrder="0"/>
    </dxf>
    <dxf>
      <font>
        <b val="0"/>
        <i val="0"/>
        <strike val="0"/>
        <condense val="0"/>
        <extend val="0"/>
        <outline val="0"/>
        <shadow val="0"/>
        <u val="none"/>
        <vertAlign val="baseline"/>
        <sz val="10"/>
        <color theme="1"/>
        <name val="Arial"/>
        <family val="2"/>
        <scheme val="none"/>
      </font>
      <numFmt numFmtId="35" formatCode="_(* #,##0.00_);_(* \(#,##0.00\);_(* &quot;-&quot;??_);_(@_)"/>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family val="2"/>
        <scheme val="none"/>
      </font>
      <numFmt numFmtId="34" formatCode="_(&quot;$&quot;* #,##0.00_);_(&quot;$&quot;* \(#,##0.00\);_(&quot;$&quot;* &quot;-&quot;??_);_(@_)"/>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family val="2"/>
        <scheme val="none"/>
      </font>
      <numFmt numFmtId="35" formatCode="_(* #,##0.00_);_(* \(#,##0.00\);_(* &quot;-&quot;??_);_(@_)"/>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family val="2"/>
        <scheme val="none"/>
      </font>
      <numFmt numFmtId="35" formatCode="_(* #,##0.00_);_(* \(#,##0.00\);_(* &quot;-&quot;??_);_(@_)"/>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family val="2"/>
        <scheme val="none"/>
      </font>
      <numFmt numFmtId="35" formatCode="_(* #,##0.00_);_(* \(#,##0.00\);_(* &quot;-&quot;??_);_(@_)"/>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family val="2"/>
        <scheme val="none"/>
      </font>
      <numFmt numFmtId="35" formatCode="_(* #,##0.00_);_(* \(#,##0.00\);_(* &quot;-&quot;??_);_(@_)"/>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family val="2"/>
        <scheme val="none"/>
      </font>
      <numFmt numFmtId="35" formatCode="_(* #,##0.00_);_(* \(#,##0.00\);_(* &quot;-&quot;??_);_(@_)"/>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MT"/>
        <scheme val="none"/>
      </font>
      <fill>
        <patternFill patternType="none">
          <fgColor indexed="64"/>
          <bgColor indexed="65"/>
        </patternFill>
      </fill>
      <alignment horizontal="center" vertical="center" textRotation="0" wrapText="1" indent="0" justifyLastLine="0" shrinkToFit="0" readingOrder="0"/>
    </dxf>
    <dxf>
      <alignment horizontal="general" vertical="bottom" textRotation="0" wrapText="1" indent="0" justifyLastLine="0" shrinkToFit="0" readingOrder="0"/>
    </dxf>
    <dxf>
      <numFmt numFmtId="35" formatCode="_(* #,##0.00_);_(* \(#,##0.00\);_(* &quot;-&quot;??_);_(@_)"/>
      <alignment horizontal="general" vertical="bottom" textRotation="0" wrapText="1" indent="0" justifyLastLine="0" shrinkToFit="0" readingOrder="0"/>
    </dxf>
    <dxf>
      <numFmt numFmtId="34" formatCode="_(&quot;$&quot;* #,##0.00_);_(&quot;$&quot;* \(#,##0.00\);_(&quot;$&quot;* &quot;-&quot;??_);_(@_)"/>
      <alignment horizontal="general" vertical="bottom" textRotation="0" wrapText="1" indent="0" justifyLastLine="0" shrinkToFit="0" readingOrder="0"/>
    </dxf>
    <dxf>
      <alignment horizontal="general" vertical="bottom" textRotation="0" wrapText="1" indent="0" justifyLastLine="0" shrinkToFit="0" readingOrder="0"/>
    </dxf>
    <dxf>
      <numFmt numFmtId="0" formatCode="General"/>
      <alignment horizontal="general" vertical="bottom" textRotation="0" wrapText="1" indent="0" justifyLastLine="0" shrinkToFit="0" readingOrder="0"/>
    </dxf>
    <dxf>
      <alignment horizontal="general" vertical="bottom" textRotation="0" wrapText="1" indent="0" justifyLastLine="0" shrinkToFit="0" readingOrder="0"/>
    </dxf>
    <dxf>
      <numFmt numFmtId="0" formatCode="General"/>
      <alignment horizontal="general" vertical="bottom" textRotation="0" wrapText="1" indent="0" justifyLastLine="0" shrinkToFit="0" readingOrder="0"/>
    </dxf>
    <dxf>
      <alignment horizontal="general" vertical="bottom" textRotation="0" wrapText="1" indent="0" justifyLastLine="0" shrinkToFit="0" readingOrder="0"/>
    </dxf>
    <dxf>
      <numFmt numFmtId="0" formatCode="General"/>
      <alignment horizontal="general" vertical="bottom" textRotation="0" wrapText="1" indent="0" justifyLastLine="0" shrinkToFit="0" readingOrder="0"/>
    </dxf>
    <dxf>
      <alignment horizontal="general" vertical="bottom" textRotation="0" wrapText="1" indent="0" justifyLastLine="0" shrinkToFit="0" readingOrder="0"/>
    </dxf>
    <dxf>
      <numFmt numFmtId="0" formatCode="General"/>
      <alignment horizontal="general" vertical="bottom" textRotation="0" wrapText="1" indent="0" justifyLastLine="0" shrinkToFit="0" readingOrder="0"/>
    </dxf>
    <dxf>
      <alignment horizontal="general" vertical="bottom" textRotation="0" wrapText="1" indent="0" justifyLastLine="0" shrinkToFit="0" readingOrder="0"/>
    </dxf>
    <dxf>
      <numFmt numFmtId="0" formatCode="General"/>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center" vertical="center" textRotation="0" wrapText="1" indent="0" justifyLastLine="0" shrinkToFit="0" readingOrder="0"/>
    </dxf>
    <dxf>
      <font>
        <b/>
        <i val="0"/>
        <strike val="0"/>
        <condense val="0"/>
        <extend val="0"/>
        <outline val="0"/>
        <shadow val="0"/>
        <u val="none"/>
        <vertAlign val="baseline"/>
        <sz val="10"/>
        <color theme="1"/>
        <name val="ArialMT"/>
        <scheme val="none"/>
      </font>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MT"/>
        <scheme val="none"/>
      </font>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numFmt numFmtId="34" formatCode="_(&quot;$&quot;* #,##0.00_);_(&quot;$&quot;* \(#,##0.00\);_(&quot;$&quot;* &quot;-&quot;??_);_(@_)"/>
    </dxf>
    <dxf>
      <font>
        <b val="0"/>
        <i val="0"/>
        <strike val="0"/>
        <condense val="0"/>
        <extend val="0"/>
        <outline val="0"/>
        <shadow val="0"/>
        <u val="none"/>
        <vertAlign val="baseline"/>
        <sz val="10"/>
        <color theme="1"/>
        <name val="ArialMT"/>
        <scheme val="none"/>
      </font>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numFmt numFmtId="34" formatCode="_(&quot;$&quot;* #,##0.00_);_(&quot;$&quot;* \(#,##0.00\);_(&quot;$&quot;* &quot;-&quot;??_);_(@_)"/>
    </dxf>
    <dxf>
      <font>
        <b val="0"/>
        <i val="0"/>
        <strike val="0"/>
        <condense val="0"/>
        <extend val="0"/>
        <outline val="0"/>
        <shadow val="0"/>
        <u val="none"/>
        <vertAlign val="baseline"/>
        <sz val="10"/>
        <color theme="1"/>
        <name val="ArialMT"/>
        <scheme val="none"/>
      </font>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numFmt numFmtId="34" formatCode="_(&quot;$&quot;* #,##0.00_);_(&quot;$&quot;* \(#,##0.00\);_(&quot;$&quot;* &quot;-&quot;??_);_(@_)"/>
    </dxf>
    <dxf>
      <font>
        <b val="0"/>
        <i val="0"/>
        <strike val="0"/>
        <condense val="0"/>
        <extend val="0"/>
        <outline val="0"/>
        <shadow val="0"/>
        <u val="none"/>
        <vertAlign val="baseline"/>
        <sz val="10"/>
        <color theme="1"/>
        <name val="ArialMT"/>
        <scheme val="none"/>
      </font>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numFmt numFmtId="34" formatCode="_(&quot;$&quot;* #,##0.00_);_(&quot;$&quot;* \(#,##0.00\);_(&quot;$&quot;* &quot;-&quot;??_);_(@_)"/>
    </dxf>
    <dxf>
      <font>
        <b val="0"/>
        <i val="0"/>
        <strike val="0"/>
        <condense val="0"/>
        <extend val="0"/>
        <outline val="0"/>
        <shadow val="0"/>
        <u val="none"/>
        <vertAlign val="baseline"/>
        <sz val="10"/>
        <color theme="1"/>
        <name val="ArialMT"/>
        <scheme val="none"/>
      </font>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numFmt numFmtId="34" formatCode="_(&quot;$&quot;* #,##0.00_);_(&quot;$&quot;* \(#,##0.00\);_(&quot;$&quot;* &quot;-&quot;??_);_(@_)"/>
    </dxf>
    <dxf>
      <font>
        <b val="0"/>
        <i val="0"/>
        <strike val="0"/>
        <condense val="0"/>
        <extend val="0"/>
        <outline val="0"/>
        <shadow val="0"/>
        <u val="none"/>
        <vertAlign val="baseline"/>
        <sz val="10"/>
        <color theme="1"/>
        <name val="ArialMT"/>
        <scheme val="none"/>
      </font>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numFmt numFmtId="34" formatCode="_(&quot;$&quot;* #,##0.00_);_(&quot;$&quot;* \(#,##0.00\);_(&quot;$&quot;* &quot;-&quot;??_);_(@_)"/>
    </dxf>
    <dxf>
      <font>
        <b/>
        <i val="0"/>
        <strike val="0"/>
        <condense val="0"/>
        <extend val="0"/>
        <outline val="0"/>
        <shadow val="0"/>
        <u val="none"/>
        <vertAlign val="baseline"/>
        <sz val="10"/>
        <color theme="1"/>
        <name val="ArialMT"/>
        <scheme val="none"/>
      </font>
      <alignment horizontal="center" vertical="bottom" textRotation="0" wrapText="1" indent="0" justifyLastLine="0" shrinkToFit="0" readingOrder="0"/>
      <border diagonalUp="0" diagonalDown="0" outline="0">
        <left/>
        <right/>
        <top/>
        <bottom/>
      </border>
    </dxf>
    <dxf>
      <font>
        <b/>
        <i val="0"/>
        <strike val="0"/>
        <condense val="0"/>
        <extend val="0"/>
        <outline val="0"/>
        <shadow val="0"/>
        <u val="none"/>
        <vertAlign val="baseline"/>
        <sz val="10"/>
        <color theme="1"/>
        <name val="ArialMT"/>
        <scheme val="none"/>
      </font>
      <numFmt numFmtId="0" formatCode="General"/>
      <alignment horizontal="center" vertical="bottom" textRotation="0" wrapText="1" indent="0" justifyLastLine="0" shrinkToFit="0" readingOrder="0"/>
    </dxf>
    <dxf>
      <alignment textRotation="0" wrapText="1" indent="0" justifyLastLine="0" shrinkToFit="0" readingOrder="0"/>
    </dxf>
    <dxf>
      <font>
        <b val="0"/>
        <i val="0"/>
        <strike val="0"/>
        <condense val="0"/>
        <extend val="0"/>
        <outline val="0"/>
        <shadow val="0"/>
        <u val="none"/>
        <vertAlign val="baseline"/>
        <sz val="10"/>
        <color auto="1"/>
        <name val="ArialMT"/>
        <scheme val="none"/>
      </font>
      <alignment textRotation="0" wrapText="1" indent="0" justifyLastLine="0" shrinkToFit="0" readingOrder="0"/>
    </dxf>
    <dxf>
      <font>
        <strike val="0"/>
        <outline val="0"/>
        <shadow val="0"/>
        <u val="none"/>
        <sz val="10"/>
        <color theme="0"/>
        <name val="ArialMT"/>
        <scheme val="none"/>
      </font>
      <fill>
        <patternFill patternType="none">
          <fgColor indexed="64"/>
          <bgColor auto="1"/>
        </patternFill>
      </fill>
      <alignment textRotation="0" wrapText="1" indent="0" justifyLastLine="0" shrinkToFit="0" readingOrder="0"/>
    </dxf>
    <dxf>
      <font>
        <b/>
        <i val="0"/>
        <strike val="0"/>
        <condense val="0"/>
        <extend val="0"/>
        <outline val="0"/>
        <shadow val="0"/>
        <u val="none"/>
        <vertAlign val="baseline"/>
        <sz val="10"/>
        <color theme="1"/>
        <name val="ArialMT"/>
        <scheme val="none"/>
      </font>
      <numFmt numFmtId="35" formatCode="_(* #,##0.00_);_(* \(#,##0.00\);_(* &quot;-&quot;??_);_(@_)"/>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MT"/>
        <scheme val="none"/>
      </font>
      <numFmt numFmtId="35" formatCode="_(* #,##0.00_);_(* \(#,##0.00\);_(* &quot;-&quot;??_);_(@_)"/>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MT"/>
        <scheme val="none"/>
      </font>
      <numFmt numFmtId="35" formatCode="_(* #,##0.00_);_(* \(#,##0.00\);_(* &quot;-&quot;??_);_(@_)"/>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MT"/>
        <scheme val="none"/>
      </font>
      <numFmt numFmtId="35" formatCode="_(* #,##0.00_);_(* \(#,##0.00\);_(* &quot;-&quot;??_);_(@_)"/>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MT"/>
        <scheme val="none"/>
      </font>
      <numFmt numFmtId="35" formatCode="_(* #,##0.00_);_(* \(#,##0.00\);_(* &quot;-&quot;??_);_(@_)"/>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MT"/>
        <scheme val="none"/>
      </font>
      <numFmt numFmtId="35" formatCode="_(* #,##0.00_);_(* \(#,##0.00\);_(* &quot;-&quot;??_);_(@_)"/>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MT"/>
        <scheme val="none"/>
      </font>
      <numFmt numFmtId="35" formatCode="_(* #,##0.00_);_(* \(#,##0.00\);_(* &quot;-&quot;??_);_(@_)"/>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numFmt numFmtId="35" formatCode="_(* #,##0.00_);_(* \(#,##0.00\);_(* &quot;-&quot;??_);_(@_)"/>
    </dxf>
    <dxf>
      <font>
        <b/>
        <i val="0"/>
        <strike val="0"/>
        <condense val="0"/>
        <extend val="0"/>
        <outline val="0"/>
        <shadow val="0"/>
        <u val="none"/>
        <vertAlign val="baseline"/>
        <sz val="10"/>
        <color theme="1"/>
        <name val="ArialMT"/>
        <scheme val="none"/>
      </font>
      <alignment horizontal="center" vertical="bottom" textRotation="0" wrapText="1" indent="0" justifyLastLine="0" shrinkToFit="0" readingOrder="0"/>
      <border diagonalUp="0" diagonalDown="0" outline="0">
        <left/>
        <right/>
        <top/>
        <bottom/>
      </border>
    </dxf>
    <dxf>
      <font>
        <b/>
        <i val="0"/>
        <strike val="0"/>
        <condense val="0"/>
        <extend val="0"/>
        <outline val="0"/>
        <shadow val="0"/>
        <u val="none"/>
        <vertAlign val="baseline"/>
        <sz val="10"/>
        <color theme="1"/>
        <name val="ArialMT"/>
        <scheme val="none"/>
      </font>
      <numFmt numFmtId="0" formatCode="General"/>
      <alignment horizontal="center" vertical="bottom" textRotation="0" wrapText="1" indent="0" justifyLastLine="0" shrinkToFit="0" readingOrder="0"/>
    </dxf>
    <dxf>
      <alignment textRotation="0" wrapText="1" indent="0" justifyLastLine="0" shrinkToFit="0" readingOrder="0"/>
    </dxf>
    <dxf>
      <font>
        <b val="0"/>
        <i val="0"/>
        <strike val="0"/>
        <condense val="0"/>
        <extend val="0"/>
        <outline val="0"/>
        <shadow val="0"/>
        <u val="none"/>
        <vertAlign val="baseline"/>
        <sz val="10"/>
        <color auto="1"/>
        <name val="ArialMT"/>
        <scheme val="none"/>
      </font>
      <alignment textRotation="0" wrapText="1" indent="0" justifyLastLine="0" shrinkToFit="0" readingOrder="0"/>
    </dxf>
    <dxf>
      <font>
        <strike val="0"/>
        <outline val="0"/>
        <shadow val="0"/>
        <u val="none"/>
        <sz val="10"/>
        <color theme="0"/>
        <name val="ArialMT"/>
        <scheme val="none"/>
      </font>
      <fill>
        <patternFill patternType="none">
          <fgColor indexed="64"/>
          <bgColor auto="1"/>
        </patternFill>
      </fill>
      <alignment textRotation="0" wrapText="1" indent="0" justifyLastLine="0" shrinkToFit="0" readingOrder="0"/>
    </dxf>
    <dxf>
      <font>
        <b/>
        <i val="0"/>
        <strike val="0"/>
        <condense val="0"/>
        <extend val="0"/>
        <outline val="0"/>
        <shadow val="0"/>
        <u val="none"/>
        <vertAlign val="baseline"/>
        <sz val="10"/>
        <color theme="1"/>
        <name val="ArialMT"/>
        <scheme val="none"/>
      </font>
      <numFmt numFmtId="35" formatCode="_(* #,##0.00_);_(* \(#,##0.00\);_(* &quot;-&quot;??_);_(@_)"/>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numFmt numFmtId="35" formatCode="_(* #,##0.00_);_(* \(#,##0.00\);_(* &quot;-&quot;??_);_(@_)"/>
    </dxf>
    <dxf>
      <font>
        <b val="0"/>
        <i val="0"/>
        <strike val="0"/>
        <condense val="0"/>
        <extend val="0"/>
        <outline val="0"/>
        <shadow val="0"/>
        <u val="none"/>
        <vertAlign val="baseline"/>
        <sz val="10"/>
        <color theme="1"/>
        <name val="ArialMT"/>
        <scheme val="none"/>
      </font>
      <numFmt numFmtId="35" formatCode="_(* #,##0.00_);_(* \(#,##0.00\);_(* &quot;-&quot;??_);_(@_)"/>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MT"/>
        <scheme val="none"/>
      </font>
      <alignment textRotation="0" wrapText="1" indent="0" justifyLastLine="0" shrinkToFit="0" readingOrder="0"/>
    </dxf>
    <dxf>
      <font>
        <b val="0"/>
        <i val="0"/>
        <strike val="0"/>
        <condense val="0"/>
        <extend val="0"/>
        <outline val="0"/>
        <shadow val="0"/>
        <u val="none"/>
        <vertAlign val="baseline"/>
        <sz val="10"/>
        <color theme="1"/>
        <name val="ArialMT"/>
        <scheme val="none"/>
      </font>
      <numFmt numFmtId="35" formatCode="_(* #,##0.00_);_(* \(#,##0.00\);_(* &quot;-&quot;??_);_(@_)"/>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MT"/>
        <scheme val="none"/>
      </font>
      <alignment textRotation="0" wrapText="1" indent="0" justifyLastLine="0" shrinkToFit="0" readingOrder="0"/>
    </dxf>
    <dxf>
      <font>
        <b val="0"/>
        <i val="0"/>
        <strike val="0"/>
        <condense val="0"/>
        <extend val="0"/>
        <outline val="0"/>
        <shadow val="0"/>
        <u val="none"/>
        <vertAlign val="baseline"/>
        <sz val="10"/>
        <color theme="1"/>
        <name val="ArialMT"/>
        <scheme val="none"/>
      </font>
      <numFmt numFmtId="35" formatCode="_(* #,##0.00_);_(* \(#,##0.00\);_(* &quot;-&quot;??_);_(@_)"/>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MT"/>
        <scheme val="none"/>
      </font>
      <alignment textRotation="0" wrapText="1" indent="0" justifyLastLine="0" shrinkToFit="0" readingOrder="0"/>
    </dxf>
    <dxf>
      <font>
        <b val="0"/>
        <i val="0"/>
        <strike val="0"/>
        <condense val="0"/>
        <extend val="0"/>
        <outline val="0"/>
        <shadow val="0"/>
        <u val="none"/>
        <vertAlign val="baseline"/>
        <sz val="10"/>
        <color theme="1"/>
        <name val="ArialMT"/>
        <scheme val="none"/>
      </font>
      <numFmt numFmtId="35" formatCode="_(* #,##0.00_);_(* \(#,##0.00\);_(* &quot;-&quot;??_);_(@_)"/>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MT"/>
        <scheme val="none"/>
      </font>
      <alignment textRotation="0" wrapText="1" indent="0" justifyLastLine="0" shrinkToFit="0" readingOrder="0"/>
    </dxf>
    <dxf>
      <font>
        <b val="0"/>
        <i val="0"/>
        <strike val="0"/>
        <condense val="0"/>
        <extend val="0"/>
        <outline val="0"/>
        <shadow val="0"/>
        <u val="none"/>
        <vertAlign val="baseline"/>
        <sz val="10"/>
        <color theme="1"/>
        <name val="ArialMT"/>
        <scheme val="none"/>
      </font>
      <numFmt numFmtId="35" formatCode="_(* #,##0.00_);_(* \(#,##0.00\);_(* &quot;-&quot;??_);_(@_)"/>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MT"/>
        <scheme val="none"/>
      </font>
      <alignment textRotation="0" wrapText="1" indent="0" justifyLastLine="0" shrinkToFit="0" readingOrder="0"/>
    </dxf>
    <dxf>
      <font>
        <b val="0"/>
        <i val="0"/>
        <strike val="0"/>
        <condense val="0"/>
        <extend val="0"/>
        <outline val="0"/>
        <shadow val="0"/>
        <u val="none"/>
        <vertAlign val="baseline"/>
        <sz val="10"/>
        <color theme="1"/>
        <name val="ArialMT"/>
        <scheme val="none"/>
      </font>
      <numFmt numFmtId="35" formatCode="_(* #,##0.00_);_(* \(#,##0.00\);_(* &quot;-&quot;??_);_(@_)"/>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MT"/>
        <scheme val="none"/>
      </font>
      <fill>
        <patternFill patternType="none">
          <fgColor indexed="64"/>
          <bgColor auto="1"/>
        </patternFill>
      </fill>
      <alignment textRotation="0" wrapText="1" indent="0" justifyLastLine="0" shrinkToFit="0" readingOrder="0"/>
    </dxf>
    <dxf>
      <font>
        <b/>
        <i val="0"/>
        <strike val="0"/>
        <condense val="0"/>
        <extend val="0"/>
        <outline val="0"/>
        <shadow val="0"/>
        <u val="none"/>
        <vertAlign val="baseline"/>
        <sz val="10"/>
        <color theme="1"/>
        <name val="ArialMT"/>
        <scheme val="none"/>
      </font>
      <alignment horizontal="center" vertical="bottom" textRotation="0" wrapText="1" indent="0" justifyLastLine="0" shrinkToFit="0" readingOrder="0"/>
      <border diagonalUp="0" diagonalDown="0" outline="0">
        <left/>
        <right/>
        <top/>
        <bottom/>
      </border>
    </dxf>
    <dxf>
      <font>
        <b/>
        <i val="0"/>
        <strike val="0"/>
        <condense val="0"/>
        <extend val="0"/>
        <outline val="0"/>
        <shadow val="0"/>
        <u val="none"/>
        <vertAlign val="baseline"/>
        <sz val="10"/>
        <color theme="1"/>
        <name val="ArialMT"/>
        <scheme val="none"/>
      </font>
      <numFmt numFmtId="0" formatCode="General"/>
      <alignment horizontal="center" vertical="bottom" textRotation="0" wrapText="1" indent="0" justifyLastLine="0" shrinkToFit="0" readingOrder="0"/>
    </dxf>
    <dxf>
      <alignment textRotation="0" wrapText="1" indent="0" justifyLastLine="0" shrinkToFit="0" readingOrder="0"/>
    </dxf>
    <dxf>
      <font>
        <b val="0"/>
        <i val="0"/>
        <strike val="0"/>
        <condense val="0"/>
        <extend val="0"/>
        <outline val="0"/>
        <shadow val="0"/>
        <u val="none"/>
        <vertAlign val="baseline"/>
        <sz val="10"/>
        <color auto="1"/>
        <name val="ArialMT"/>
        <scheme val="none"/>
      </font>
      <alignment textRotation="0" wrapText="1" indent="0" justifyLastLine="0" shrinkToFit="0" readingOrder="0"/>
    </dxf>
    <dxf>
      <font>
        <strike val="0"/>
        <outline val="0"/>
        <shadow val="0"/>
        <u val="none"/>
        <sz val="10"/>
        <color theme="0"/>
        <name val="ArialMT"/>
        <scheme val="none"/>
      </font>
      <fill>
        <patternFill patternType="none">
          <fgColor indexed="64"/>
          <bgColor auto="1"/>
        </patternFill>
      </fill>
      <alignment textRotation="0" wrapText="1" indent="0" justifyLastLine="0" shrinkToFit="0" readingOrder="0"/>
    </dxf>
    <dxf>
      <font>
        <b/>
        <i val="0"/>
        <strike val="0"/>
        <condense val="0"/>
        <extend val="0"/>
        <outline val="0"/>
        <shadow val="0"/>
        <u val="none"/>
        <vertAlign val="baseline"/>
        <sz val="10"/>
        <color theme="1"/>
        <name val="ArialMT"/>
        <scheme val="none"/>
      </font>
      <numFmt numFmtId="35" formatCode="_(* #,##0.00_);_(* \(#,##0.00\);_(* &quot;-&quot;??_);_(@_)"/>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MT"/>
        <scheme val="none"/>
      </font>
      <numFmt numFmtId="35" formatCode="_(* #,##0.00_);_(* \(#,##0.00\);_(* &quot;-&quot;??_);_(@_)"/>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MT"/>
        <scheme val="none"/>
      </font>
      <numFmt numFmtId="35" formatCode="_(* #,##0.00_);_(* \(#,##0.00\);_(* &quot;-&quot;??_);_(@_)"/>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ArialMT"/>
        <scheme val="none"/>
      </font>
      <numFmt numFmtId="35" formatCode="_(* #,##0.00_);_(* \(#,##0.00\);_(* &quot;-&quot;??_);_(@_)"/>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MT"/>
        <scheme val="none"/>
      </font>
      <numFmt numFmtId="35" formatCode="_(* #,##0.00_);_(* \(#,##0.00\);_(* &quot;-&quot;??_);_(@_)"/>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ArialMT"/>
        <scheme val="none"/>
      </font>
      <numFmt numFmtId="35" formatCode="_(* #,##0.00_);_(* \(#,##0.00\);_(* &quot;-&quot;??_);_(@_)"/>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MT"/>
        <scheme val="none"/>
      </font>
      <numFmt numFmtId="35" formatCode="_(* #,##0.00_);_(* \(#,##0.00\);_(* &quot;-&quot;??_);_(@_)"/>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ArialMT"/>
        <scheme val="none"/>
      </font>
      <numFmt numFmtId="35" formatCode="_(* #,##0.00_);_(* \(#,##0.00\);_(* &quot;-&quot;??_);_(@_)"/>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MT"/>
        <scheme val="none"/>
      </font>
      <numFmt numFmtId="35" formatCode="_(* #,##0.00_);_(* \(#,##0.00\);_(* &quot;-&quot;??_);_(@_)"/>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ArialMT"/>
        <scheme val="none"/>
      </font>
      <numFmt numFmtId="35" formatCode="_(* #,##0.00_);_(* \(#,##0.00\);_(* &quot;-&quot;??_);_(@_)"/>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MT"/>
        <scheme val="none"/>
      </font>
      <numFmt numFmtId="35" formatCode="_(* #,##0.00_);_(* \(#,##0.00\);_(* &quot;-&quot;??_);_(@_)"/>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ArialMT"/>
        <scheme val="none"/>
      </font>
      <numFmt numFmtId="35" formatCode="_(* #,##0.00_);_(* \(#,##0.00\);_(* &quot;-&quot;??_);_(@_)"/>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MT"/>
        <scheme val="none"/>
      </font>
      <numFmt numFmtId="35" formatCode="_(* #,##0.00_);_(* \(#,##0.00\);_(* &quot;-&quot;??_);_(@_)"/>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10"/>
        <color theme="1"/>
        <name val="ArialMT"/>
        <scheme val="none"/>
      </font>
      <alignment horizontal="center" vertical="bottom" textRotation="0" wrapText="1" indent="0" justifyLastLine="0" shrinkToFit="0" readingOrder="0"/>
      <border diagonalUp="0" diagonalDown="0" outline="0">
        <left/>
        <right/>
        <top/>
        <bottom/>
      </border>
    </dxf>
    <dxf>
      <font>
        <b/>
        <i val="0"/>
        <strike val="0"/>
        <condense val="0"/>
        <extend val="0"/>
        <outline val="0"/>
        <shadow val="0"/>
        <u val="none"/>
        <vertAlign val="baseline"/>
        <sz val="10"/>
        <color theme="1"/>
        <name val="ArialMT"/>
        <scheme val="none"/>
      </font>
      <numFmt numFmtId="0" formatCode="General"/>
      <alignment horizontal="center" vertical="bottom" textRotation="0" wrapText="1" indent="0" justifyLastLine="0" shrinkToFit="0" readingOrder="0"/>
    </dxf>
    <dxf>
      <alignment textRotation="0" wrapText="1" indent="0" justifyLastLine="0" shrinkToFit="0" readingOrder="0"/>
    </dxf>
    <dxf>
      <font>
        <b val="0"/>
        <i val="0"/>
        <strike val="0"/>
        <condense val="0"/>
        <extend val="0"/>
        <outline val="0"/>
        <shadow val="0"/>
        <u val="none"/>
        <vertAlign val="baseline"/>
        <sz val="10"/>
        <color auto="1"/>
        <name val="ArialMT"/>
        <scheme val="none"/>
      </font>
      <alignment textRotation="0" wrapText="1" indent="0" justifyLastLine="0" shrinkToFit="0" readingOrder="0"/>
    </dxf>
    <dxf>
      <font>
        <strike val="0"/>
        <outline val="0"/>
        <shadow val="0"/>
        <u val="none"/>
        <sz val="10"/>
        <color theme="0"/>
        <name val="ArialMT"/>
        <scheme val="none"/>
      </font>
      <fill>
        <patternFill patternType="none">
          <fgColor indexed="64"/>
          <bgColor auto="1"/>
        </patternFill>
      </fill>
      <alignment textRotation="0" wrapText="1" indent="0" justifyLastLine="0" shrinkToFit="0" readingOrder="0"/>
    </dxf>
    <dxf>
      <font>
        <b/>
        <i val="0"/>
        <strike val="0"/>
        <condense val="0"/>
        <extend val="0"/>
        <outline val="0"/>
        <shadow val="0"/>
        <u val="none"/>
        <vertAlign val="baseline"/>
        <sz val="10"/>
        <color theme="1"/>
        <name val="ArialMT"/>
        <scheme val="none"/>
      </font>
      <numFmt numFmtId="34" formatCode="_(&quot;$&quot;* #,##0.00_);_(&quot;$&quot;* \(#,##0.00\);_(&quot;$&quot;* &quot;-&quot;??_);_(@_)"/>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font>
        <b/>
        <i val="0"/>
        <strike val="0"/>
        <condense val="0"/>
        <extend val="0"/>
        <outline val="0"/>
        <shadow val="0"/>
        <u val="none"/>
        <vertAlign val="baseline"/>
        <sz val="10"/>
        <color theme="1"/>
        <name val="ArialMT"/>
        <scheme val="none"/>
      </font>
      <numFmt numFmtId="34" formatCode="_(&quot;$&quot;* #,##0.00_);_(&quot;$&quot;* \(#,##0.00\);_(&quot;$&quot;* &quot;-&quot;??_);_(@_)"/>
      <fill>
        <patternFill patternType="none">
          <fgColor indexed="64"/>
          <bgColor auto="1"/>
        </patternFill>
      </fill>
      <alignment textRotation="0" wrapText="1" indent="0" justifyLastLine="0" shrinkToFit="0" readingOrder="0"/>
    </dxf>
    <dxf>
      <font>
        <b val="0"/>
        <i val="0"/>
        <strike val="0"/>
        <condense val="0"/>
        <extend val="0"/>
        <outline val="0"/>
        <shadow val="0"/>
        <u val="none"/>
        <vertAlign val="baseline"/>
        <sz val="10"/>
        <color theme="1"/>
        <name val="ArialMT"/>
        <scheme val="none"/>
      </font>
      <numFmt numFmtId="34" formatCode="_(&quot;$&quot;* #,##0.00_);_(&quot;$&quot;* \(#,##0.00\);_(&quot;$&quot;* &quot;-&quot;??_);_(@_)"/>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MT"/>
        <scheme val="none"/>
      </font>
      <numFmt numFmtId="34" formatCode="_(&quot;$&quot;* #,##0.00_);_(&quot;$&quot;* \(#,##0.00\);_(&quot;$&quot;* &quot;-&quot;??_);_(@_)"/>
      <alignment textRotation="0" wrapText="1" indent="0" justifyLastLine="0" shrinkToFit="0" readingOrder="0"/>
    </dxf>
    <dxf>
      <font>
        <b val="0"/>
        <i val="0"/>
        <strike val="0"/>
        <condense val="0"/>
        <extend val="0"/>
        <outline val="0"/>
        <shadow val="0"/>
        <u val="none"/>
        <vertAlign val="baseline"/>
        <sz val="10"/>
        <color theme="1"/>
        <name val="ArialMT"/>
        <scheme val="none"/>
      </font>
      <numFmt numFmtId="34" formatCode="_(&quot;$&quot;* #,##0.00_);_(&quot;$&quot;* \(#,##0.00\);_(&quot;$&quot;* &quot;-&quot;??_);_(@_)"/>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MT"/>
        <scheme val="none"/>
      </font>
      <numFmt numFmtId="34" formatCode="_(&quot;$&quot;* #,##0.00_);_(&quot;$&quot;* \(#,##0.00\);_(&quot;$&quot;* &quot;-&quot;??_);_(@_)"/>
      <alignment textRotation="0" wrapText="1" indent="0" justifyLastLine="0" shrinkToFit="0" readingOrder="0"/>
    </dxf>
    <dxf>
      <font>
        <b val="0"/>
        <i val="0"/>
        <strike val="0"/>
        <condense val="0"/>
        <extend val="0"/>
        <outline val="0"/>
        <shadow val="0"/>
        <u val="none"/>
        <vertAlign val="baseline"/>
        <sz val="10"/>
        <color theme="1"/>
        <name val="ArialMT"/>
        <scheme val="none"/>
      </font>
      <numFmt numFmtId="34" formatCode="_(&quot;$&quot;* #,##0.00_);_(&quot;$&quot;* \(#,##0.00\);_(&quot;$&quot;* &quot;-&quot;??_);_(@_)"/>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MT"/>
        <scheme val="none"/>
      </font>
      <numFmt numFmtId="34" formatCode="_(&quot;$&quot;* #,##0.00_);_(&quot;$&quot;* \(#,##0.00\);_(&quot;$&quot;* &quot;-&quot;??_);_(@_)"/>
      <alignment textRotation="0" wrapText="1" indent="0" justifyLastLine="0" shrinkToFit="0" readingOrder="0"/>
    </dxf>
    <dxf>
      <font>
        <b val="0"/>
        <i val="0"/>
        <strike val="0"/>
        <condense val="0"/>
        <extend val="0"/>
        <outline val="0"/>
        <shadow val="0"/>
        <u val="none"/>
        <vertAlign val="baseline"/>
        <sz val="10"/>
        <color theme="1"/>
        <name val="ArialMT"/>
        <scheme val="none"/>
      </font>
      <numFmt numFmtId="34" formatCode="_(&quot;$&quot;* #,##0.00_);_(&quot;$&quot;* \(#,##0.00\);_(&quot;$&quot;* &quot;-&quot;??_);_(@_)"/>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MT"/>
        <scheme val="none"/>
      </font>
      <numFmt numFmtId="34" formatCode="_(&quot;$&quot;* #,##0.00_);_(&quot;$&quot;* \(#,##0.00\);_(&quot;$&quot;* &quot;-&quot;??_);_(@_)"/>
      <alignment textRotation="0" wrapText="1" indent="0" justifyLastLine="0" shrinkToFit="0" readingOrder="0"/>
    </dxf>
    <dxf>
      <font>
        <b val="0"/>
        <i val="0"/>
        <strike val="0"/>
        <condense val="0"/>
        <extend val="0"/>
        <outline val="0"/>
        <shadow val="0"/>
        <u val="none"/>
        <vertAlign val="baseline"/>
        <sz val="10"/>
        <color theme="1"/>
        <name val="ArialMT"/>
        <scheme val="none"/>
      </font>
      <numFmt numFmtId="34" formatCode="_(&quot;$&quot;* #,##0.00_);_(&quot;$&quot;* \(#,##0.00\);_(&quot;$&quot;* &quot;-&quot;??_);_(@_)"/>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MT"/>
        <scheme val="none"/>
      </font>
      <numFmt numFmtId="34" formatCode="_(&quot;$&quot;* #,##0.00_);_(&quot;$&quot;* \(#,##0.00\);_(&quot;$&quot;* &quot;-&quot;??_);_(@_)"/>
      <alignment textRotation="0" wrapText="1" indent="0" justifyLastLine="0" shrinkToFit="0" readingOrder="0"/>
    </dxf>
    <dxf>
      <font>
        <b val="0"/>
        <i val="0"/>
        <strike val="0"/>
        <condense val="0"/>
        <extend val="0"/>
        <outline val="0"/>
        <shadow val="0"/>
        <u val="none"/>
        <vertAlign val="baseline"/>
        <sz val="10"/>
        <color theme="1"/>
        <name val="ArialMT"/>
        <scheme val="none"/>
      </font>
      <numFmt numFmtId="34" formatCode="_(&quot;$&quot;* #,##0.00_);_(&quot;$&quot;* \(#,##0.00\);_(&quot;$&quot;* &quot;-&quot;??_);_(@_)"/>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MT"/>
        <scheme val="none"/>
      </font>
      <numFmt numFmtId="34" formatCode="_(&quot;$&quot;* #,##0.00_);_(&quot;$&quot;* \(#,##0.00\);_(&quot;$&quot;* &quot;-&quot;??_);_(@_)"/>
      <fill>
        <patternFill patternType="none">
          <fgColor indexed="64"/>
          <bgColor auto="1"/>
        </patternFill>
      </fill>
      <alignment textRotation="0" wrapText="1" indent="0" justifyLastLine="0" shrinkToFit="0" readingOrder="0"/>
    </dxf>
    <dxf>
      <font>
        <b/>
        <i val="0"/>
        <strike val="0"/>
        <condense val="0"/>
        <extend val="0"/>
        <outline val="0"/>
        <shadow val="0"/>
        <u val="none"/>
        <vertAlign val="baseline"/>
        <sz val="10"/>
        <color theme="1"/>
        <name val="ArialMT"/>
        <scheme val="none"/>
      </font>
      <alignment horizontal="center" vertical="bottom" textRotation="0" wrapText="1" indent="0" justifyLastLine="0" shrinkToFit="0" readingOrder="0"/>
      <border diagonalUp="0" diagonalDown="0" outline="0">
        <left/>
        <right/>
        <top/>
        <bottom/>
      </border>
    </dxf>
    <dxf>
      <font>
        <b/>
        <i val="0"/>
        <strike val="0"/>
        <condense val="0"/>
        <extend val="0"/>
        <outline val="0"/>
        <shadow val="0"/>
        <u val="none"/>
        <vertAlign val="baseline"/>
        <sz val="10"/>
        <color theme="1"/>
        <name val="ArialMT"/>
        <scheme val="none"/>
      </font>
      <numFmt numFmtId="0" formatCode="General"/>
      <alignment horizontal="center" vertical="bottom" textRotation="0" wrapText="1" indent="0" justifyLastLine="0" shrinkToFit="0" readingOrder="0"/>
    </dxf>
    <dxf>
      <alignment textRotation="0" wrapText="1" indent="0" justifyLastLine="0" shrinkToFit="0" readingOrder="0"/>
    </dxf>
    <dxf>
      <font>
        <b val="0"/>
        <i val="0"/>
        <strike val="0"/>
        <condense val="0"/>
        <extend val="0"/>
        <outline val="0"/>
        <shadow val="0"/>
        <u val="none"/>
        <vertAlign val="baseline"/>
        <sz val="10"/>
        <color auto="1"/>
        <name val="ArialMT"/>
        <scheme val="none"/>
      </font>
      <alignment textRotation="0" wrapText="1" indent="0" justifyLastLine="0" shrinkToFit="0" readingOrder="0"/>
    </dxf>
    <dxf>
      <font>
        <strike val="0"/>
        <outline val="0"/>
        <shadow val="0"/>
        <u val="none"/>
        <sz val="10"/>
        <color theme="0"/>
        <name val="ArialMT"/>
        <scheme val="none"/>
      </font>
      <fill>
        <patternFill patternType="none">
          <fgColor indexed="64"/>
          <bgColor auto="1"/>
        </patternFill>
      </fill>
      <alignment textRotation="0" wrapText="1" indent="0" justifyLastLine="0" shrinkToFit="0" readingOrder="0"/>
    </dxf>
    <dxf>
      <font>
        <b val="0"/>
        <i val="0"/>
        <strike val="0"/>
        <condense val="0"/>
        <extend val="0"/>
        <outline val="0"/>
        <shadow val="0"/>
        <u val="none"/>
        <vertAlign val="baseline"/>
        <sz val="10"/>
        <color theme="1"/>
        <name val="ArialMT"/>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rialMT"/>
        <scheme val="none"/>
      </font>
      <fill>
        <patternFill patternType="none">
          <fgColor indexed="64"/>
          <bgColor indexed="65"/>
        </patternFill>
      </fill>
      <alignment horizontal="center" textRotation="0" wrapText="0" indent="0" justifyLastLine="0" shrinkToFit="0" readingOrder="0"/>
    </dxf>
    <dxf>
      <font>
        <b val="0"/>
        <i val="0"/>
        <strike val="0"/>
        <condense val="0"/>
        <extend val="0"/>
        <outline val="0"/>
        <shadow val="0"/>
        <u val="none"/>
        <vertAlign val="baseline"/>
        <sz val="10"/>
        <color theme="1"/>
        <name val="ArialMT"/>
        <scheme val="none"/>
      </font>
      <fill>
        <patternFill patternType="none">
          <fgColor indexed="64"/>
          <bgColor indexed="65"/>
        </patternFill>
      </fill>
      <alignment horizontal="center" textRotation="0" wrapText="0" indent="0" justifyLastLine="0" shrinkToFit="0" readingOrder="0"/>
    </dxf>
    <dxf>
      <font>
        <b val="0"/>
        <i val="0"/>
        <strike val="0"/>
        <condense val="0"/>
        <extend val="0"/>
        <outline val="0"/>
        <shadow val="0"/>
        <u val="none"/>
        <vertAlign val="baseline"/>
        <sz val="10"/>
        <color theme="1"/>
        <name val="ArialMT"/>
        <scheme val="none"/>
      </font>
      <fill>
        <patternFill patternType="none">
          <fgColor indexed="64"/>
          <bgColor indexed="65"/>
        </patternFill>
      </fill>
      <alignment horizontal="center" textRotation="0" wrapText="0" indent="0" justifyLastLine="0" shrinkToFit="0" readingOrder="0"/>
    </dxf>
    <dxf>
      <font>
        <b val="0"/>
        <i val="0"/>
        <strike val="0"/>
        <condense val="0"/>
        <extend val="0"/>
        <outline val="0"/>
        <shadow val="0"/>
        <u val="none"/>
        <vertAlign val="baseline"/>
        <sz val="10"/>
        <color theme="1"/>
        <name val="ArialMT"/>
        <scheme val="none"/>
      </font>
      <fill>
        <patternFill patternType="none">
          <fgColor indexed="64"/>
          <bgColor indexed="65"/>
        </patternFill>
      </fill>
      <alignment horizontal="center" textRotation="0" wrapText="0" indent="0" justifyLastLine="0" shrinkToFit="0" readingOrder="0"/>
    </dxf>
    <dxf>
      <font>
        <b val="0"/>
        <i val="0"/>
        <strike val="0"/>
        <condense val="0"/>
        <extend val="0"/>
        <outline val="0"/>
        <shadow val="0"/>
        <u val="none"/>
        <vertAlign val="baseline"/>
        <sz val="10"/>
        <color theme="1"/>
        <name val="ArialMT"/>
        <scheme val="none"/>
      </font>
      <fill>
        <patternFill patternType="none">
          <fgColor indexed="64"/>
          <bgColor indexed="65"/>
        </patternFill>
      </fill>
      <alignment horizontal="center" textRotation="0" wrapText="0" indent="0" justifyLastLine="0" shrinkToFit="0" readingOrder="0"/>
    </dxf>
    <dxf>
      <font>
        <b val="0"/>
        <i val="0"/>
        <strike val="0"/>
        <condense val="0"/>
        <extend val="0"/>
        <outline val="0"/>
        <shadow val="0"/>
        <u val="none"/>
        <vertAlign val="baseline"/>
        <sz val="10"/>
        <color theme="1"/>
        <name val="ArialMT"/>
        <scheme val="none"/>
      </font>
      <fill>
        <patternFill patternType="none">
          <fgColor indexed="64"/>
          <bgColor indexed="65"/>
        </patternFill>
      </fill>
      <alignment horizontal="center" textRotation="0" wrapText="0" indent="0" justifyLastLine="0" shrinkToFit="0" readingOrder="0"/>
    </dxf>
    <dxf>
      <font>
        <b val="0"/>
        <i val="0"/>
        <strike val="0"/>
        <condense val="0"/>
        <extend val="0"/>
        <outline val="0"/>
        <shadow val="0"/>
        <u val="none"/>
        <vertAlign val="baseline"/>
        <sz val="10"/>
        <color theme="1"/>
        <name val="ArialMT"/>
        <scheme val="none"/>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theme="1"/>
        <name val="ArialMT"/>
        <scheme val="none"/>
      </font>
      <fill>
        <patternFill patternType="none">
          <fgColor indexed="64"/>
          <bgColor indexed="65"/>
        </patternFill>
      </fill>
      <alignment horizontal="center" textRotation="0" wrapText="0" indent="0" justifyLastLine="0" shrinkToFit="0" readingOrder="0"/>
    </dxf>
    <dxf>
      <font>
        <b val="0"/>
        <i val="0"/>
        <strike val="0"/>
        <condense val="0"/>
        <extend val="0"/>
        <outline val="0"/>
        <shadow val="0"/>
        <u val="none"/>
        <vertAlign val="baseline"/>
        <sz val="10"/>
        <color theme="1"/>
        <name val="ArialMT"/>
        <scheme val="none"/>
      </font>
      <fill>
        <patternFill patternType="none">
          <fgColor indexed="64"/>
          <bgColor indexed="65"/>
        </patternFill>
      </fill>
      <alignment horizontal="center" textRotation="0" wrapText="0" indent="0" justifyLastLine="0" shrinkToFit="0" readingOrder="0"/>
    </dxf>
    <dxf>
      <font>
        <b/>
        <i val="0"/>
        <strike val="0"/>
        <condense val="0"/>
        <extend val="0"/>
        <outline val="0"/>
        <shadow val="0"/>
        <u val="none"/>
        <vertAlign val="baseline"/>
        <sz val="10"/>
        <color theme="1"/>
        <name val="ArialMT"/>
        <scheme val="none"/>
      </font>
      <numFmt numFmtId="34" formatCode="_(&quot;$&quot;* #,##0.00_);_(&quot;$&quot;* \(#,##0.00\);_(&quot;$&quot;* &quot;-&quot;??_);_(@_)"/>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theme="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numFmt numFmtId="34" formatCode="_(&quot;$&quot;* #,##0.00_);_(&quot;$&quot;* \(#,##0.00\);_(&quot;$&quot;* &quot;-&quot;??_);_(@_)"/>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numFmt numFmtId="34" formatCode="_(&quot;$&quot;* #,##0.00_);_(&quot;$&quot;* \(#,##0.00\);_(&quot;$&quot;* &quot;-&quot;??_);_(@_)"/>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numFmt numFmtId="34" formatCode="_(&quot;$&quot;* #,##0.00_);_(&quot;$&quot;* \(#,##0.00\);_(&quot;$&quot;* &quot;-&quot;??_);_(@_)"/>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numFmt numFmtId="34" formatCode="_(&quot;$&quot;* #,##0.00_);_(&quot;$&quot;* \(#,##0.00\);_(&quot;$&quot;* &quot;-&quot;??_);_(@_)"/>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numFmt numFmtId="34" formatCode="_(&quot;$&quot;* #,##0.00_);_(&quot;$&quot;* \(#,##0.00\);_(&quot;$&quot;* &quot;-&quot;??_);_(@_)"/>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numFmt numFmtId="34" formatCode="_(&quot;$&quot;* #,##0.00_);_(&quot;$&quot;* \(#,##0.00\);_(&quot;$&quot;* &quot;-&quot;??_);_(@_)"/>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theme="1"/>
        <name val="Arial"/>
        <family val="2"/>
        <scheme val="none"/>
      </font>
      <numFmt numFmtId="34" formatCode="_(&quot;$&quot;* #,##0.00_);_(&quot;$&quot;* \(#,##0.00\);_(&quot;$&quot;* &quot;-&quot;??_);_(@_)"/>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MT"/>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MT"/>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0"/>
        <color theme="1"/>
        <name val="ArialMT"/>
        <scheme val="none"/>
      </font>
      <numFmt numFmtId="35" formatCode="_(* #,##0.00_);_(* \(#,##0.00\);_(* &quot;-&quot;??_);_(@_)"/>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theme="1"/>
        <name val="ArialMT"/>
        <scheme val="none"/>
      </font>
      <numFmt numFmtId="35" formatCode="_(* #,##0.00_);_(* \(#,##0.00\);_(* &quot;-&quot;??_);_(@_)"/>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numFmt numFmtId="35" formatCode="_(* #,##0.00_);_(* \(#,##0.00\);_(* &quot;-&quot;??_);_(@_)"/>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numFmt numFmtId="35" formatCode="_(* #,##0.00_);_(* \(#,##0.00\);_(* &quot;-&quot;??_);_(@_)"/>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numFmt numFmtId="35" formatCode="_(* #,##0.00_);_(* \(#,##0.00\);_(* &quot;-&quot;??_);_(@_)"/>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numFmt numFmtId="35" formatCode="_(* #,##0.00_);_(* \(#,##0.00\);_(* &quot;-&quot;??_);_(@_)"/>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numFmt numFmtId="35" formatCode="_(* #,##0.00_);_(* \(#,##0.00\);_(* &quot;-&quot;??_);_(@_)"/>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numFmt numFmtId="35" formatCode="_(* #,##0.00_);_(* \(#,##0.00\);_(* &quot;-&quot;??_);_(@_)"/>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numFmt numFmtId="35" formatCode="_(* #,##0.00_);_(* \(#,##0.00\);_(* &quot;-&quot;??_);_(@_)"/>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MT"/>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MT"/>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0"/>
        <color theme="1"/>
        <name val="ArialMT"/>
        <scheme val="none"/>
      </font>
      <numFmt numFmtId="34" formatCode="_(&quot;$&quot;* #,##0.00_);_(&quot;$&quot;* \(#,##0.00\);_(&quot;$&quot;* &quot;-&quot;??_);_(@_)"/>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ArialMT"/>
        <scheme val="none"/>
      </font>
      <numFmt numFmtId="34" formatCode="_(&quot;$&quot;* #,##0.00_);_(&quot;$&quot;* \(#,##0.00\);_(&quot;$&quot;* &quot;-&quot;??_);_(@_)"/>
      <fill>
        <patternFill patternType="none">
          <fgColor indexed="64"/>
          <bgColor auto="1"/>
        </patternFill>
      </fill>
    </dxf>
    <dxf>
      <font>
        <b val="0"/>
        <i val="0"/>
        <strike val="0"/>
        <condense val="0"/>
        <extend val="0"/>
        <outline val="0"/>
        <shadow val="0"/>
        <u val="none"/>
        <vertAlign val="baseline"/>
        <sz val="10"/>
        <color theme="1"/>
        <name val="ArialMT"/>
        <scheme val="none"/>
      </font>
      <numFmt numFmtId="34" formatCode="_(&quot;$&quot;* #,##0.00_);_(&quot;$&quot;* \(#,##0.00\);_(&quot;$&quot;* &quot;-&quot;??_);_(@_)"/>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ArialMT"/>
        <scheme val="none"/>
      </font>
      <fill>
        <patternFill patternType="none">
          <fgColor indexed="64"/>
          <bgColor auto="1"/>
        </patternFill>
      </fill>
    </dxf>
    <dxf>
      <font>
        <b val="0"/>
        <i val="0"/>
        <strike val="0"/>
        <condense val="0"/>
        <extend val="0"/>
        <outline val="0"/>
        <shadow val="0"/>
        <u val="none"/>
        <vertAlign val="baseline"/>
        <sz val="10"/>
        <color theme="1"/>
        <name val="ArialMT"/>
        <scheme val="none"/>
      </font>
      <numFmt numFmtId="4"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ArialMT"/>
        <scheme val="none"/>
      </font>
      <fill>
        <patternFill patternType="none">
          <fgColor indexed="64"/>
          <bgColor auto="1"/>
        </patternFill>
      </fill>
    </dxf>
    <dxf>
      <font>
        <b val="0"/>
        <i val="0"/>
        <strike val="0"/>
        <condense val="0"/>
        <extend val="0"/>
        <outline val="0"/>
        <shadow val="0"/>
        <u val="none"/>
        <vertAlign val="baseline"/>
        <sz val="10"/>
        <color theme="1"/>
        <name val="ArialMT"/>
        <scheme val="none"/>
      </font>
      <numFmt numFmtId="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ArialMT"/>
        <scheme val="none"/>
      </font>
      <numFmt numFmtId="35" formatCode="_(* #,##0.00_);_(* \(#,##0.00\);_(* &quot;-&quot;??_);_(@_)"/>
      <fill>
        <patternFill patternType="none">
          <fgColor indexed="64"/>
          <bgColor auto="1"/>
        </patternFill>
      </fill>
    </dxf>
    <dxf>
      <font>
        <b val="0"/>
        <i val="0"/>
        <strike val="0"/>
        <condense val="0"/>
        <extend val="0"/>
        <outline val="0"/>
        <shadow val="0"/>
        <u val="none"/>
        <vertAlign val="baseline"/>
        <sz val="10"/>
        <color theme="1"/>
        <name val="ArialMT"/>
        <scheme val="none"/>
      </font>
      <numFmt numFmtId="3" formatCode="#,##0"/>
      <fill>
        <patternFill patternType="none">
          <fgColor indexed="64"/>
          <bgColor indexed="65"/>
        </patternFill>
      </fill>
      <border diagonalUp="0" diagonalDown="0" outline="0">
        <left/>
        <right/>
        <top/>
        <bottom/>
      </border>
    </dxf>
    <dxf>
      <numFmt numFmtId="35" formatCode="_(* #,##0.00_);_(* \(#,##0.00\);_(* &quot;-&quot;??_);_(@_)"/>
      <alignment horizontal="right" vertical="bottom" textRotation="0" wrapText="0" indent="0" justifyLastLine="0" shrinkToFit="0" readingOrder="0"/>
    </dxf>
    <dxf>
      <font>
        <b val="0"/>
        <i val="0"/>
        <strike val="0"/>
        <condense val="0"/>
        <extend val="0"/>
        <outline val="0"/>
        <shadow val="0"/>
        <u val="none"/>
        <vertAlign val="baseline"/>
        <sz val="10"/>
        <color theme="1"/>
        <name val="ArialMT"/>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MT"/>
        <scheme val="none"/>
      </font>
      <numFmt numFmtId="0" formatCode="General"/>
      <fill>
        <patternFill patternType="none">
          <fgColor indexed="64"/>
          <bgColor auto="1"/>
        </patternFill>
      </fill>
      <alignment horizontal="center" vertical="bottom" textRotation="0" wrapText="0" indent="0" justifyLastLine="0" shrinkToFit="0" readingOrder="0"/>
    </dxf>
    <dxf>
      <fill>
        <patternFill patternType="none">
          <fgColor indexed="64"/>
          <bgColor auto="1"/>
        </patternFill>
      </fill>
    </dxf>
    <dxf>
      <font>
        <b val="0"/>
        <i val="0"/>
        <strike val="0"/>
        <condense val="0"/>
        <extend val="0"/>
        <outline val="0"/>
        <shadow val="0"/>
        <u val="none"/>
        <vertAlign val="baseline"/>
        <sz val="10"/>
        <color theme="1"/>
        <name val="ArialMT"/>
        <scheme val="none"/>
      </font>
      <fill>
        <patternFill patternType="none">
          <fgColor indexed="64"/>
          <bgColor auto="1"/>
        </patternFill>
      </fill>
    </dxf>
    <dxf>
      <font>
        <b/>
        <i val="0"/>
        <strike val="0"/>
        <condense val="0"/>
        <extend val="0"/>
        <outline val="0"/>
        <shadow val="0"/>
        <u val="none"/>
        <vertAlign val="baseline"/>
        <sz val="10"/>
        <color theme="1"/>
        <name val="ArialMT"/>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family val="2"/>
        <scheme val="none"/>
      </font>
      <numFmt numFmtId="34" formatCode="_(&quot;$&quot;* #,##0.00_);_(&quot;$&quot;* \(#,##0.00\);_(&quot;$&quot;* &quot;-&quot;??_);_(@_)"/>
      <alignment horizontal="general" vertical="bottom" textRotation="0" wrapText="1" indent="0" justifyLastLine="0" shrinkToFit="0" readingOrder="0"/>
      <border diagonalUp="0" diagonalDown="0" outline="0">
        <left/>
        <right/>
        <top/>
        <bottom/>
      </border>
    </dxf>
    <dxf>
      <font>
        <sz val="10"/>
        <name val="Arial"/>
        <family val="2"/>
        <scheme val="none"/>
      </font>
      <alignment horizontal="general" vertical="center" textRotation="0" wrapText="1" indent="0" justifyLastLine="0" shrinkToFit="0" readingOrder="0"/>
    </dxf>
    <dxf>
      <numFmt numFmtId="2" formatCode="0.00"/>
      <alignment horizontal="general" vertical="bottom"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family val="2"/>
        <scheme val="none"/>
      </font>
      <numFmt numFmtId="34" formatCode="_(&quot;$&quot;* #,##0.00_);_(&quot;$&quot;* \(#,##0.00\);_(&quot;$&quot;* &quot;-&quot;??_);_(@_)"/>
      <fill>
        <patternFill patternType="none">
          <fgColor indexed="64"/>
          <bgColor auto="1"/>
        </patternFill>
      </fill>
      <alignment horizontal="general" vertical="center" textRotation="0" wrapText="1" indent="0" justifyLastLine="0" shrinkToFit="0" readingOrder="0"/>
    </dxf>
    <dxf>
      <numFmt numFmtId="2" formatCode="0.00"/>
      <alignment horizontal="general" vertical="bottom" textRotation="0" wrapText="1" indent="0" justifyLastLine="0" shrinkToFit="0" readingOrder="0"/>
      <border diagonalUp="0" diagonalDown="0" outline="0">
        <left/>
        <right/>
        <top/>
        <bottom/>
      </border>
    </dxf>
    <dxf>
      <font>
        <sz val="10"/>
        <name val="Arial"/>
        <family val="2"/>
        <scheme val="none"/>
      </font>
      <numFmt numFmtId="2" formatCode="0.00"/>
    </dxf>
    <dxf>
      <numFmt numFmtId="2" formatCode="0.00"/>
      <alignment horizontal="general" vertical="bottom"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family val="2"/>
        <scheme val="none"/>
      </font>
      <numFmt numFmtId="35" formatCode="_(* #,##0.00_);_(* \(#,##0.00\);_(* &quot;-&quot;??_);_(@_)"/>
    </dxf>
    <dxf>
      <numFmt numFmtId="2" formatCode="0.00"/>
      <alignment horizontal="general" vertical="bottom" textRotation="0" wrapText="1" indent="0" justifyLastLine="0" shrinkToFit="0" readingOrder="0"/>
      <border diagonalUp="0" diagonalDown="0" outline="0">
        <left/>
        <right/>
        <top/>
        <bottom/>
      </border>
    </dxf>
    <dxf>
      <font>
        <sz val="10"/>
        <name val="Arial"/>
        <family val="2"/>
        <scheme val="none"/>
      </font>
      <numFmt numFmtId="35" formatCode="_(* #,##0.00_);_(* \(#,##0.00\);_(* &quot;-&quot;??_);_(@_)"/>
    </dxf>
    <dxf>
      <numFmt numFmtId="2" formatCode="0.00"/>
      <alignment horizontal="general" vertical="bottom"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family val="2"/>
        <scheme val="none"/>
      </font>
      <numFmt numFmtId="35" formatCode="_(* #,##0.00_);_(* \(#,##0.00\);_(* &quot;-&quot;??_);_(@_)"/>
    </dxf>
    <dxf>
      <font>
        <b/>
        <i val="0"/>
        <strike val="0"/>
        <condense val="0"/>
        <extend val="0"/>
        <outline val="0"/>
        <shadow val="0"/>
        <u val="none"/>
        <vertAlign val="baseline"/>
        <sz val="10"/>
        <color theme="1"/>
        <name val="ArialMT"/>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i val="0"/>
        <strike val="0"/>
        <condense val="0"/>
        <extend val="0"/>
        <outline val="0"/>
        <shadow val="0"/>
        <u val="none"/>
        <vertAlign val="baseline"/>
        <sz val="10"/>
        <color theme="1"/>
        <name val="ArialMT"/>
        <scheme val="none"/>
      </font>
      <fill>
        <patternFill patternType="none">
          <fgColor indexed="64"/>
          <bgColor indexed="65"/>
        </patternFill>
      </fill>
      <alignment horizontal="left" vertical="center" textRotation="0" wrapText="1" indent="0" justifyLastLine="0" shrinkToFit="0" readingOrder="0"/>
    </dxf>
    <dxf>
      <alignment textRotation="0" wrapText="1" indent="0" justifyLastLine="0" shrinkToFit="0" readingOrder="0"/>
    </dxf>
    <dxf>
      <font>
        <b val="0"/>
        <i val="0"/>
        <strike val="0"/>
        <condense val="0"/>
        <extend val="0"/>
        <outline val="0"/>
        <shadow val="0"/>
        <u val="none"/>
        <vertAlign val="baseline"/>
        <sz val="10"/>
        <color theme="1"/>
        <name val="ArialMT"/>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34" formatCode="_(&quot;$&quot;* #,##0.00_);_(&quot;$&quot;* \(#,##0.00\);_(&quot;$&quot;* &quot;-&quot;??_);_(@_)"/>
      <alignment horizontal="general" vertical="bottom" textRotation="0" wrapText="1" indent="0" justifyLastLine="0" shrinkToFit="0" readingOrder="0"/>
      <border diagonalUp="0" diagonalDown="0" outline="0">
        <left/>
        <right/>
        <top/>
        <bottom/>
      </border>
    </dxf>
    <dxf>
      <font>
        <sz val="10"/>
        <name val="Arial"/>
        <family val="2"/>
        <scheme val="none"/>
      </font>
      <alignment horizontal="general" vertical="center" textRotation="0" wrapText="1" indent="0" justifyLastLine="0" shrinkToFit="0" readingOrder="0"/>
    </dxf>
    <dxf>
      <numFmt numFmtId="2" formatCode="0.00"/>
      <alignment horizontal="general" vertical="bottom"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family val="2"/>
        <scheme val="none"/>
      </font>
      <numFmt numFmtId="34" formatCode="_(&quot;$&quot;* #,##0.00_);_(&quot;$&quot;* \(#,##0.00\);_(&quot;$&quot;* &quot;-&quot;??_);_(@_)"/>
      <fill>
        <patternFill patternType="none">
          <fgColor indexed="64"/>
          <bgColor auto="1"/>
        </patternFill>
      </fill>
      <alignment horizontal="general" vertical="center" textRotation="0" wrapText="1" indent="0" justifyLastLine="0" shrinkToFit="0" readingOrder="0"/>
    </dxf>
    <dxf>
      <numFmt numFmtId="2" formatCode="0.00"/>
      <alignment horizontal="general" vertical="bottom" textRotation="0" wrapText="1" indent="0" justifyLastLine="0" shrinkToFit="0" readingOrder="0"/>
      <border diagonalUp="0" diagonalDown="0" outline="0">
        <left/>
        <right/>
        <top/>
        <bottom/>
      </border>
    </dxf>
    <dxf>
      <font>
        <sz val="10"/>
        <name val="Arial"/>
        <family val="2"/>
        <scheme val="none"/>
      </font>
      <numFmt numFmtId="2" formatCode="0.00"/>
    </dxf>
    <dxf>
      <numFmt numFmtId="2" formatCode="0.00"/>
      <alignment horizontal="general" vertical="bottom"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family val="2"/>
        <scheme val="none"/>
      </font>
      <numFmt numFmtId="35" formatCode="_(* #,##0.00_);_(* \(#,##0.00\);_(* &quot;-&quot;??_);_(@_)"/>
    </dxf>
    <dxf>
      <numFmt numFmtId="2" formatCode="0.00"/>
      <alignment horizontal="general" vertical="bottom" textRotation="0" wrapText="1" indent="0" justifyLastLine="0" shrinkToFit="0" readingOrder="0"/>
      <border diagonalUp="0" diagonalDown="0" outline="0">
        <left/>
        <right/>
        <top/>
        <bottom/>
      </border>
    </dxf>
    <dxf>
      <font>
        <sz val="10"/>
        <name val="Arial"/>
        <family val="2"/>
        <scheme val="none"/>
      </font>
      <numFmt numFmtId="35" formatCode="_(* #,##0.00_);_(* \(#,##0.00\);_(* &quot;-&quot;??_);_(@_)"/>
    </dxf>
    <dxf>
      <numFmt numFmtId="2" formatCode="0.00"/>
      <alignment horizontal="general" vertical="bottom"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family val="2"/>
        <scheme val="none"/>
      </font>
      <numFmt numFmtId="35" formatCode="_(* #,##0.00_);_(* \(#,##0.00\);_(* &quot;-&quot;??_);_(@_)"/>
    </dxf>
    <dxf>
      <font>
        <b/>
        <i val="0"/>
        <strike val="0"/>
        <condense val="0"/>
        <extend val="0"/>
        <outline val="0"/>
        <shadow val="0"/>
        <u val="none"/>
        <vertAlign val="baseline"/>
        <sz val="10"/>
        <color theme="1"/>
        <name val="ArialMT"/>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i val="0"/>
        <strike val="0"/>
        <condense val="0"/>
        <extend val="0"/>
        <outline val="0"/>
        <shadow val="0"/>
        <u val="none"/>
        <vertAlign val="baseline"/>
        <sz val="10"/>
        <color theme="1"/>
        <name val="ArialMT"/>
        <scheme val="none"/>
      </font>
      <fill>
        <patternFill patternType="none">
          <fgColor indexed="64"/>
          <bgColor indexed="65"/>
        </patternFill>
      </fill>
      <alignment horizontal="left" vertical="center" textRotation="0" wrapText="1" indent="0" justifyLastLine="0" shrinkToFit="0" readingOrder="0"/>
    </dxf>
    <dxf>
      <alignment textRotation="0" wrapText="1" indent="0" justifyLastLine="0" shrinkToFit="0" readingOrder="0"/>
    </dxf>
    <dxf>
      <font>
        <b val="0"/>
        <i val="0"/>
        <strike val="0"/>
        <condense val="0"/>
        <extend val="0"/>
        <outline val="0"/>
        <shadow val="0"/>
        <u val="none"/>
        <vertAlign val="baseline"/>
        <sz val="10"/>
        <color theme="1"/>
        <name val="ArialMT"/>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34" formatCode="_(&quot;$&quot;* #,##0.00_);_(&quot;$&quot;* \(#,##0.00\);_(&quot;$&quot;* &quot;-&quot;??_);_(@_)"/>
      <alignment horizontal="general" vertical="bottom" textRotation="0" wrapText="1" indent="0" justifyLastLine="0" shrinkToFit="0" readingOrder="0"/>
      <border diagonalUp="0" diagonalDown="0" outline="0">
        <left/>
        <right/>
        <top/>
        <bottom/>
      </border>
    </dxf>
    <dxf>
      <font>
        <sz val="10"/>
        <name val="Arial"/>
        <family val="2"/>
        <scheme val="none"/>
      </font>
      <alignment horizontal="general" vertical="center" textRotation="0" wrapText="1" indent="0" justifyLastLine="0" shrinkToFit="0" readingOrder="0"/>
    </dxf>
    <dxf>
      <numFmt numFmtId="2" formatCode="0.00"/>
      <alignment horizontal="general" vertical="bottom"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family val="2"/>
        <scheme val="none"/>
      </font>
      <numFmt numFmtId="34" formatCode="_(&quot;$&quot;* #,##0.00_);_(&quot;$&quot;* \(#,##0.00\);_(&quot;$&quot;* &quot;-&quot;??_);_(@_)"/>
      <fill>
        <patternFill patternType="none">
          <fgColor indexed="64"/>
          <bgColor auto="1"/>
        </patternFill>
      </fill>
      <alignment horizontal="general" vertical="center" textRotation="0" wrapText="1" indent="0" justifyLastLine="0" shrinkToFit="0" readingOrder="0"/>
    </dxf>
    <dxf>
      <numFmt numFmtId="2" formatCode="0.00"/>
      <alignment horizontal="general" vertical="bottom" textRotation="0" wrapText="1" indent="0" justifyLastLine="0" shrinkToFit="0" readingOrder="0"/>
      <border diagonalUp="0" diagonalDown="0" outline="0">
        <left/>
        <right/>
        <top/>
        <bottom/>
      </border>
    </dxf>
    <dxf>
      <font>
        <sz val="10"/>
        <name val="Arial"/>
        <family val="2"/>
        <scheme val="none"/>
      </font>
      <numFmt numFmtId="2" formatCode="0.00"/>
    </dxf>
    <dxf>
      <numFmt numFmtId="2" formatCode="0.00"/>
      <alignment horizontal="general" vertical="bottom"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family val="2"/>
        <scheme val="none"/>
      </font>
      <numFmt numFmtId="35" formatCode="_(* #,##0.00_);_(* \(#,##0.00\);_(* &quot;-&quot;??_);_(@_)"/>
    </dxf>
    <dxf>
      <numFmt numFmtId="2" formatCode="0.00"/>
      <alignment horizontal="general" vertical="bottom" textRotation="0" wrapText="1" indent="0" justifyLastLine="0" shrinkToFit="0" readingOrder="0"/>
      <border diagonalUp="0" diagonalDown="0" outline="0">
        <left/>
        <right/>
        <top/>
        <bottom/>
      </border>
    </dxf>
    <dxf>
      <font>
        <sz val="10"/>
        <name val="Arial"/>
        <family val="2"/>
        <scheme val="none"/>
      </font>
      <numFmt numFmtId="35" formatCode="_(* #,##0.00_);_(* \(#,##0.00\);_(* &quot;-&quot;??_);_(@_)"/>
    </dxf>
    <dxf>
      <numFmt numFmtId="2" formatCode="0.00"/>
      <alignment horizontal="general" vertical="bottom"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family val="2"/>
        <scheme val="none"/>
      </font>
      <numFmt numFmtId="35" formatCode="_(* #,##0.00_);_(* \(#,##0.00\);_(* &quot;-&quot;??_);_(@_)"/>
    </dxf>
    <dxf>
      <font>
        <b/>
        <i val="0"/>
        <strike val="0"/>
        <condense val="0"/>
        <extend val="0"/>
        <outline val="0"/>
        <shadow val="0"/>
        <u val="none"/>
        <vertAlign val="baseline"/>
        <sz val="10"/>
        <color theme="1"/>
        <name val="ArialMT"/>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i val="0"/>
        <strike val="0"/>
        <condense val="0"/>
        <extend val="0"/>
        <outline val="0"/>
        <shadow val="0"/>
        <u val="none"/>
        <vertAlign val="baseline"/>
        <sz val="10"/>
        <color theme="1"/>
        <name val="ArialMT"/>
        <scheme val="none"/>
      </font>
      <fill>
        <patternFill patternType="none">
          <fgColor indexed="64"/>
          <bgColor indexed="65"/>
        </patternFill>
      </fill>
      <alignment horizontal="left" vertical="center" textRotation="0" wrapText="1" indent="0" justifyLastLine="0" shrinkToFit="0" readingOrder="0"/>
    </dxf>
    <dxf>
      <alignment textRotation="0" wrapText="1" indent="0" justifyLastLine="0" shrinkToFit="0" readingOrder="0"/>
    </dxf>
    <dxf>
      <font>
        <b val="0"/>
        <i val="0"/>
        <strike val="0"/>
        <condense val="0"/>
        <extend val="0"/>
        <outline val="0"/>
        <shadow val="0"/>
        <u val="none"/>
        <vertAlign val="baseline"/>
        <sz val="10"/>
        <color theme="1"/>
        <name val="ArialMT"/>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34" formatCode="_(&quot;$&quot;* #,##0.00_);_(&quot;$&quot;* \(#,##0.00\);_(&quot;$&quot;* &quot;-&quot;??_);_(@_)"/>
      <alignment horizontal="general" vertical="bottom" textRotation="0" wrapText="1" indent="0" justifyLastLine="0" shrinkToFit="0" readingOrder="0"/>
      <border diagonalUp="0" diagonalDown="0" outline="0">
        <left/>
        <right/>
        <top/>
        <bottom/>
      </border>
    </dxf>
    <dxf>
      <font>
        <sz val="10"/>
        <name val="Arial"/>
        <family val="2"/>
        <scheme val="none"/>
      </font>
      <alignment horizontal="general" vertical="center" textRotation="0" wrapText="1" indent="0" justifyLastLine="0" shrinkToFit="0" readingOrder="0"/>
    </dxf>
    <dxf>
      <numFmt numFmtId="2" formatCode="0.00"/>
      <alignment horizontal="general" vertical="bottom"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family val="2"/>
        <scheme val="none"/>
      </font>
      <numFmt numFmtId="34" formatCode="_(&quot;$&quot;* #,##0.00_);_(&quot;$&quot;* \(#,##0.00\);_(&quot;$&quot;* &quot;-&quot;??_);_(@_)"/>
      <fill>
        <patternFill patternType="none">
          <fgColor indexed="64"/>
          <bgColor auto="1"/>
        </patternFill>
      </fill>
      <alignment horizontal="general" vertical="center" textRotation="0" wrapText="1" indent="0" justifyLastLine="0" shrinkToFit="0" readingOrder="0"/>
    </dxf>
    <dxf>
      <numFmt numFmtId="2" formatCode="0.00"/>
      <alignment horizontal="general" vertical="bottom" textRotation="0" wrapText="1" indent="0" justifyLastLine="0" shrinkToFit="0" readingOrder="0"/>
      <border diagonalUp="0" diagonalDown="0" outline="0">
        <left/>
        <right/>
        <top/>
        <bottom/>
      </border>
    </dxf>
    <dxf>
      <font>
        <sz val="10"/>
        <name val="Arial"/>
        <family val="2"/>
        <scheme val="none"/>
      </font>
      <numFmt numFmtId="2" formatCode="0.00"/>
      <alignment horizontal="general" vertical="center" textRotation="0" wrapText="1" indent="0" justifyLastLine="0" shrinkToFit="0" readingOrder="0"/>
    </dxf>
    <dxf>
      <numFmt numFmtId="2" formatCode="0.00"/>
      <alignment horizontal="general" vertical="bottom" textRotation="0" wrapText="1" indent="0" justifyLastLine="0" shrinkToFit="0" readingOrder="0"/>
      <border diagonalUp="0" diagonalDown="0" outline="0">
        <left/>
        <right/>
        <top/>
        <bottom/>
      </border>
    </dxf>
    <dxf>
      <font>
        <sz val="10"/>
        <name val="Arial"/>
        <family val="2"/>
        <scheme val="none"/>
      </font>
      <numFmt numFmtId="35" formatCode="_(* #,##0.00_);_(* \(#,##0.00\);_(* &quot;-&quot;??_);_(@_)"/>
      <alignment horizontal="center" vertical="center" textRotation="0" wrapText="1" indent="0" justifyLastLine="0" shrinkToFit="0" readingOrder="0"/>
    </dxf>
    <dxf>
      <numFmt numFmtId="2" formatCode="0.00"/>
      <alignment horizontal="general" vertical="bottom" textRotation="0" wrapText="1" indent="0" justifyLastLine="0" shrinkToFit="0" readingOrder="0"/>
      <border diagonalUp="0" diagonalDown="0" outline="0">
        <left/>
        <right/>
        <top/>
        <bottom/>
      </border>
    </dxf>
    <dxf>
      <font>
        <sz val="10"/>
        <name val="Arial"/>
        <family val="2"/>
        <scheme val="none"/>
      </font>
      <numFmt numFmtId="35" formatCode="_(* #,##0.00_);_(* \(#,##0.00\);_(* &quot;-&quot;??_);_(@_)"/>
      <alignment horizontal="general" vertical="center" textRotation="0" wrapText="1" indent="0" justifyLastLine="0" shrinkToFit="0" readingOrder="0"/>
    </dxf>
    <dxf>
      <numFmt numFmtId="2" formatCode="0.00"/>
      <alignment horizontal="general" vertical="bottom" textRotation="0" wrapText="1" indent="0" justifyLastLine="0" shrinkToFit="0" readingOrder="0"/>
      <border diagonalUp="0" diagonalDown="0" outline="0">
        <left/>
        <right/>
        <top/>
        <bottom/>
      </border>
    </dxf>
    <dxf>
      <font>
        <sz val="10"/>
        <name val="Arial"/>
        <family val="2"/>
        <scheme val="none"/>
      </font>
      <numFmt numFmtId="35" formatCode="_(* #,##0.00_);_(* \(#,##0.00\);_(* &quot;-&quot;??_);_(@_)"/>
      <alignment horizontal="center" vertical="center" textRotation="0" wrapText="1" indent="0" justifyLastLine="0" shrinkToFit="0" readingOrder="0"/>
    </dxf>
    <dxf>
      <font>
        <b/>
        <i val="0"/>
        <strike val="0"/>
        <condense val="0"/>
        <extend val="0"/>
        <outline val="0"/>
        <shadow val="0"/>
        <u val="none"/>
        <vertAlign val="baseline"/>
        <sz val="10"/>
        <color theme="1"/>
        <name val="ArialMT"/>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i val="0"/>
        <strike val="0"/>
        <condense val="0"/>
        <extend val="0"/>
        <outline val="0"/>
        <shadow val="0"/>
        <u val="none"/>
        <vertAlign val="baseline"/>
        <sz val="10"/>
        <color theme="1"/>
        <name val="ArialMT"/>
        <scheme val="none"/>
      </font>
      <fill>
        <patternFill patternType="none">
          <fgColor indexed="64"/>
          <bgColor auto="1"/>
        </patternFill>
      </fill>
      <alignment horizontal="center" vertical="center" textRotation="0" wrapText="1" indent="0" justifyLastLine="0" shrinkToFit="0" readingOrder="0"/>
    </dxf>
    <dxf>
      <numFmt numFmtId="2" formatCode="0.00"/>
      <alignment textRotation="0" wrapText="1" indent="0" justifyLastLine="0" shrinkToFit="0" readingOrder="0"/>
    </dxf>
    <dxf>
      <numFmt numFmtId="2" formatCode="0.00"/>
      <fill>
        <patternFill patternType="none">
          <fgColor indexed="64"/>
          <bgColor auto="1"/>
        </patternFill>
      </fill>
      <alignment textRotation="0" wrapText="1" indent="0" justifyLastLine="0" shrinkToFit="0" readingOrder="0"/>
    </dxf>
    <dxf>
      <font>
        <b val="0"/>
        <i val="0"/>
        <strike val="0"/>
        <condense val="0"/>
        <extend val="0"/>
        <outline val="0"/>
        <shadow val="0"/>
        <u val="none"/>
        <vertAlign val="baseline"/>
        <sz val="10"/>
        <color theme="1"/>
        <name val="ArialMT"/>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34" formatCode="_(&quot;$&quot;* #,##0.00_);_(&quot;$&quot;* \(#,##0.00\);_(&quot;$&quot;* &quot;-&quot;??_);_(@_)"/>
      <alignment horizontal="general" vertical="bottom" textRotation="0" wrapText="1" indent="0" justifyLastLine="0" shrinkToFit="0" readingOrder="0"/>
      <border diagonalUp="0" diagonalDown="0" outline="0">
        <left/>
        <right/>
        <top/>
        <bottom/>
      </border>
    </dxf>
    <dxf>
      <font>
        <sz val="10"/>
        <name val="Arial"/>
        <family val="2"/>
        <scheme val="none"/>
      </font>
      <alignment horizontal="general" vertical="center" textRotation="0" wrapText="1" indent="0" justifyLastLine="0" shrinkToFit="0" readingOrder="0"/>
    </dxf>
    <dxf>
      <numFmt numFmtId="2" formatCode="0.00"/>
      <alignment horizontal="general" vertical="bottom"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family val="2"/>
        <scheme val="none"/>
      </font>
      <numFmt numFmtId="34" formatCode="_(&quot;$&quot;* #,##0.00_);_(&quot;$&quot;* \(#,##0.00\);_(&quot;$&quot;* &quot;-&quot;??_);_(@_)"/>
      <fill>
        <patternFill patternType="none">
          <fgColor indexed="64"/>
          <bgColor auto="1"/>
        </patternFill>
      </fill>
      <alignment horizontal="general" vertical="center" textRotation="0" wrapText="1" indent="0" justifyLastLine="0" shrinkToFit="0" readingOrder="0"/>
    </dxf>
    <dxf>
      <numFmt numFmtId="2" formatCode="0.00"/>
      <alignment horizontal="general" vertical="bottom" textRotation="0" wrapText="1" indent="0" justifyLastLine="0" shrinkToFit="0" readingOrder="0"/>
      <border diagonalUp="0" diagonalDown="0" outline="0">
        <left/>
        <right/>
        <top/>
        <bottom/>
      </border>
    </dxf>
    <dxf>
      <font>
        <sz val="10"/>
        <name val="Arial"/>
        <family val="2"/>
        <scheme val="none"/>
      </font>
      <numFmt numFmtId="2" formatCode="0.00"/>
    </dxf>
    <dxf>
      <numFmt numFmtId="2" formatCode="0.00"/>
      <alignment horizontal="general" vertical="bottom"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family val="2"/>
        <scheme val="none"/>
      </font>
      <numFmt numFmtId="35" formatCode="_(* #,##0.00_);_(* \(#,##0.00\);_(* &quot;-&quot;??_);_(@_)"/>
    </dxf>
    <dxf>
      <numFmt numFmtId="2" formatCode="0.00"/>
      <alignment horizontal="general" vertical="bottom" textRotation="0" wrapText="1" indent="0" justifyLastLine="0" shrinkToFit="0" readingOrder="0"/>
      <border diagonalUp="0" diagonalDown="0" outline="0">
        <left/>
        <right/>
        <top/>
        <bottom/>
      </border>
    </dxf>
    <dxf>
      <font>
        <sz val="10"/>
        <name val="Arial"/>
        <family val="2"/>
        <scheme val="none"/>
      </font>
      <numFmt numFmtId="2" formatCode="0.00"/>
    </dxf>
    <dxf>
      <numFmt numFmtId="2" formatCode="0.00"/>
      <alignment horizontal="general" vertical="bottom"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family val="2"/>
        <scheme val="none"/>
      </font>
      <numFmt numFmtId="35" formatCode="_(* #,##0.00_);_(* \(#,##0.00\);_(* &quot;-&quot;??_);_(@_)"/>
    </dxf>
    <dxf>
      <font>
        <b/>
        <i val="0"/>
        <strike val="0"/>
        <condense val="0"/>
        <extend val="0"/>
        <outline val="0"/>
        <shadow val="0"/>
        <u val="none"/>
        <vertAlign val="baseline"/>
        <sz val="10"/>
        <color theme="1"/>
        <name val="ArialMT"/>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i val="0"/>
        <strike val="0"/>
        <condense val="0"/>
        <extend val="0"/>
        <outline val="0"/>
        <shadow val="0"/>
        <u val="none"/>
        <vertAlign val="baseline"/>
        <sz val="10"/>
        <color theme="1"/>
        <name val="ArialMT"/>
        <scheme val="none"/>
      </font>
      <fill>
        <patternFill patternType="none">
          <fgColor indexed="64"/>
          <bgColor indexed="65"/>
        </patternFill>
      </fill>
      <alignment horizontal="left" vertical="center" textRotation="0" wrapText="1" indent="0" justifyLastLine="0" shrinkToFit="0" readingOrder="0"/>
    </dxf>
    <dxf>
      <alignment textRotation="0" wrapText="1" indent="0" justifyLastLine="0" shrinkToFit="0" readingOrder="0"/>
    </dxf>
    <dxf>
      <font>
        <b val="0"/>
        <i val="0"/>
        <strike val="0"/>
        <condense val="0"/>
        <extend val="0"/>
        <outline val="0"/>
        <shadow val="0"/>
        <u val="none"/>
        <vertAlign val="baseline"/>
        <sz val="10"/>
        <color theme="1"/>
        <name val="ArialMT"/>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34" formatCode="_(&quot;$&quot;* #,##0.00_);_(&quot;$&quot;* \(#,##0.00\);_(&quot;$&quot;* &quot;-&quot;??_);_(@_)"/>
      <alignment horizontal="general" vertical="bottom" textRotation="0" wrapText="1" indent="0" justifyLastLine="0" shrinkToFit="0" readingOrder="0"/>
      <border diagonalUp="0" diagonalDown="0" outline="0">
        <left/>
        <right/>
        <top/>
        <bottom/>
      </border>
    </dxf>
    <dxf>
      <font>
        <sz val="10"/>
        <name val="Arial"/>
        <family val="2"/>
        <scheme val="none"/>
      </font>
      <alignment horizontal="general" vertical="center" textRotation="0" wrapText="1" indent="0" justifyLastLine="0" shrinkToFit="0" readingOrder="0"/>
    </dxf>
    <dxf>
      <numFmt numFmtId="2" formatCode="0.00"/>
      <alignment horizontal="general" vertical="bottom"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family val="2"/>
        <scheme val="none"/>
      </font>
      <numFmt numFmtId="34" formatCode="_(&quot;$&quot;* #,##0.00_);_(&quot;$&quot;* \(#,##0.00\);_(&quot;$&quot;* &quot;-&quot;??_);_(@_)"/>
      <fill>
        <patternFill patternType="none">
          <fgColor indexed="64"/>
          <bgColor auto="1"/>
        </patternFill>
      </fill>
      <alignment horizontal="general" vertical="center" textRotation="0" wrapText="1" indent="0" justifyLastLine="0" shrinkToFit="0" readingOrder="0"/>
    </dxf>
    <dxf>
      <numFmt numFmtId="2" formatCode="0.00"/>
      <alignment horizontal="general" vertical="bottom" textRotation="0" wrapText="1" indent="0" justifyLastLine="0" shrinkToFit="0" readingOrder="0"/>
      <border diagonalUp="0" diagonalDown="0" outline="0">
        <left/>
        <right/>
        <top/>
        <bottom/>
      </border>
    </dxf>
    <dxf>
      <font>
        <sz val="10"/>
        <name val="Arial"/>
        <family val="2"/>
        <scheme val="none"/>
      </font>
      <numFmt numFmtId="2" formatCode="0.00"/>
    </dxf>
    <dxf>
      <numFmt numFmtId="2" formatCode="0.00"/>
      <alignment horizontal="general" vertical="bottom"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family val="2"/>
        <scheme val="none"/>
      </font>
      <numFmt numFmtId="35" formatCode="_(* #,##0.00_);_(* \(#,##0.00\);_(* &quot;-&quot;??_);_(@_)"/>
    </dxf>
    <dxf>
      <numFmt numFmtId="2" formatCode="0.00"/>
      <alignment horizontal="general" vertical="bottom" textRotation="0" wrapText="1" indent="0" justifyLastLine="0" shrinkToFit="0" readingOrder="0"/>
      <border diagonalUp="0" diagonalDown="0" outline="0">
        <left/>
        <right/>
        <top/>
        <bottom/>
      </border>
    </dxf>
    <dxf>
      <font>
        <sz val="10"/>
        <name val="Arial"/>
        <family val="2"/>
        <scheme val="none"/>
      </font>
      <numFmt numFmtId="2" formatCode="0.00"/>
    </dxf>
    <dxf>
      <numFmt numFmtId="2" formatCode="0.00"/>
      <alignment horizontal="general" vertical="bottom"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family val="2"/>
        <scheme val="none"/>
      </font>
      <numFmt numFmtId="35" formatCode="_(* #,##0.00_);_(* \(#,##0.00\);_(* &quot;-&quot;??_);_(@_)"/>
    </dxf>
    <dxf>
      <font>
        <b/>
        <i val="0"/>
        <strike val="0"/>
        <condense val="0"/>
        <extend val="0"/>
        <outline val="0"/>
        <shadow val="0"/>
        <u val="none"/>
        <vertAlign val="baseline"/>
        <sz val="10"/>
        <color theme="1"/>
        <name val="ArialMT"/>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i val="0"/>
        <strike val="0"/>
        <condense val="0"/>
        <extend val="0"/>
        <outline val="0"/>
        <shadow val="0"/>
        <u val="none"/>
        <vertAlign val="baseline"/>
        <sz val="10"/>
        <color theme="1"/>
        <name val="ArialMT"/>
        <scheme val="none"/>
      </font>
      <fill>
        <patternFill patternType="none">
          <fgColor indexed="64"/>
          <bgColor indexed="65"/>
        </patternFill>
      </fill>
      <alignment horizontal="left" vertical="center" textRotation="0" wrapText="1" indent="0" justifyLastLine="0" shrinkToFit="0" readingOrder="0"/>
    </dxf>
    <dxf>
      <alignment textRotation="0" wrapText="1" indent="0" justifyLastLine="0" shrinkToFit="0" readingOrder="0"/>
    </dxf>
    <dxf>
      <font>
        <b val="0"/>
        <i val="0"/>
        <strike val="0"/>
        <condense val="0"/>
        <extend val="0"/>
        <outline val="0"/>
        <shadow val="0"/>
        <u val="none"/>
        <vertAlign val="baseline"/>
        <sz val="10"/>
        <color theme="1"/>
        <name val="ArialMT"/>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MT"/>
        <scheme val="none"/>
      </font>
      <alignment horizontal="center" vertical="center" textRotation="0" wrapText="1" indent="0" justifyLastLine="0" shrinkToFit="0" readingOrder="0"/>
    </dxf>
    <dxf>
      <font>
        <b val="0"/>
        <i val="0"/>
        <strike val="0"/>
        <condense val="0"/>
        <extend val="0"/>
        <outline val="0"/>
        <shadow val="0"/>
        <u val="none"/>
        <vertAlign val="baseline"/>
        <sz val="10"/>
        <color theme="1"/>
        <name val="ArialMT"/>
        <scheme val="none"/>
      </font>
      <alignment horizontal="center" vertical="center" textRotation="0" wrapText="1" indent="0" justifyLastLine="0" shrinkToFit="0" readingOrder="0"/>
    </dxf>
    <dxf>
      <font>
        <b val="0"/>
        <i val="0"/>
        <strike val="0"/>
        <condense val="0"/>
        <extend val="0"/>
        <outline val="0"/>
        <shadow val="0"/>
        <u val="none"/>
        <vertAlign val="baseline"/>
        <sz val="10"/>
        <color theme="1"/>
        <name val="ArialMT"/>
        <scheme val="none"/>
      </font>
      <alignment horizontal="center" vertical="center" textRotation="0" wrapText="1" indent="0" justifyLastLine="0" shrinkToFit="0" readingOrder="0"/>
    </dxf>
    <dxf>
      <font>
        <b val="0"/>
        <i val="0"/>
        <strike val="0"/>
        <condense val="0"/>
        <extend val="0"/>
        <outline val="0"/>
        <shadow val="0"/>
        <u val="none"/>
        <vertAlign val="baseline"/>
        <sz val="10"/>
        <color theme="1"/>
        <name val="ArialMT"/>
        <scheme val="none"/>
      </font>
      <alignment horizontal="center" vertical="center" textRotation="0" wrapText="1" indent="0" justifyLastLine="0" shrinkToFit="0" readingOrder="0"/>
    </dxf>
    <dxf>
      <font>
        <b val="0"/>
        <i val="0"/>
        <strike val="0"/>
        <condense val="0"/>
        <extend val="0"/>
        <outline val="0"/>
        <shadow val="0"/>
        <u val="none"/>
        <vertAlign val="baseline"/>
        <sz val="10"/>
        <color theme="1"/>
        <name val="ArialMT"/>
        <scheme val="none"/>
      </font>
      <alignment horizontal="center" vertical="center" textRotation="0" wrapText="1" indent="0" justifyLastLine="0" shrinkToFit="0" readingOrder="0"/>
    </dxf>
    <dxf>
      <font>
        <b val="0"/>
        <i val="0"/>
        <strike val="0"/>
        <condense val="0"/>
        <extend val="0"/>
        <outline val="0"/>
        <shadow val="0"/>
        <u val="none"/>
        <vertAlign val="baseline"/>
        <sz val="10"/>
        <color theme="1"/>
        <name val="ArialMT"/>
        <scheme val="none"/>
      </font>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alignment horizontal="center" vertical="center" textRotation="0" wrapText="1" indent="0" justifyLastLine="0" shrinkToFit="0" readingOrder="0"/>
    </dxf>
    <dxf>
      <font>
        <b val="0"/>
        <i val="0"/>
        <strike val="0"/>
        <condense val="0"/>
        <extend val="0"/>
        <outline val="0"/>
        <shadow val="0"/>
        <u val="none"/>
        <vertAlign val="baseline"/>
        <sz val="10"/>
        <color theme="1"/>
        <name val="ArialMT"/>
        <scheme val="none"/>
      </font>
      <alignment horizontal="center" vertical="center" textRotation="0" wrapText="1" indent="0" justifyLastLine="0" shrinkToFit="0" readingOrder="0"/>
    </dxf>
    <dxf>
      <font>
        <b val="0"/>
        <i val="0"/>
        <strike val="0"/>
        <condense val="0"/>
        <extend val="0"/>
        <outline val="0"/>
        <shadow val="0"/>
        <u val="none"/>
        <vertAlign val="baseline"/>
        <sz val="10"/>
        <color theme="1"/>
        <name val="ArialMT"/>
        <scheme val="none"/>
      </font>
      <alignment horizontal="center" vertical="center" textRotation="0" wrapText="1" indent="0" justifyLastLine="0" shrinkToFit="0" readingOrder="0"/>
    </dxf>
    <dxf>
      <font>
        <b val="0"/>
        <i val="0"/>
        <strike val="0"/>
        <condense val="0"/>
        <extend val="0"/>
        <outline val="0"/>
        <shadow val="0"/>
        <u val="none"/>
        <vertAlign val="baseline"/>
        <sz val="10"/>
        <color theme="1"/>
        <name val="Arial"/>
        <family val="2"/>
        <scheme val="none"/>
      </font>
      <numFmt numFmtId="34" formatCode="_(&quot;$&quot;* #,##0.00_);_(&quot;$&quot;* \(#,##0.00\);_(&quot;$&quot;* &quot;-&quot;??_);_(@_)"/>
      <alignment horizontal="general" vertical="bottom" textRotation="0" wrapText="1" indent="0" justifyLastLine="0" shrinkToFit="0" readingOrder="0"/>
      <border diagonalUp="0" diagonalDown="0" outline="0">
        <left/>
        <right/>
        <top/>
        <bottom/>
      </border>
    </dxf>
    <dxf>
      <numFmt numFmtId="2" formatCode="0.00"/>
      <alignment horizontal="general" vertical="bottom" textRotation="0" wrapText="1" indent="0" justifyLastLine="0" shrinkToFit="0" readingOrder="0"/>
      <border diagonalUp="0" diagonalDown="0" outline="0">
        <left/>
        <right/>
        <top/>
        <bottom/>
      </border>
    </dxf>
    <dxf>
      <numFmt numFmtId="2" formatCode="0.00"/>
      <alignment horizontal="general" vertical="bottom" textRotation="0" wrapText="1" indent="0" justifyLastLine="0" shrinkToFit="0" readingOrder="0"/>
      <border diagonalUp="0" diagonalDown="0" outline="0">
        <left/>
        <right/>
        <top/>
        <bottom/>
      </border>
    </dxf>
    <dxf>
      <numFmt numFmtId="35" formatCode="_(* #,##0.00_);_(* \(#,##0.00\);_(* &quot;-&quot;??_);_(@_)"/>
    </dxf>
    <dxf>
      <numFmt numFmtId="2" formatCode="0.00"/>
      <alignment horizontal="general" vertical="bottom" textRotation="0" wrapText="1" indent="0" justifyLastLine="0" shrinkToFit="0" readingOrder="0"/>
      <border diagonalUp="0" diagonalDown="0" outline="0">
        <left/>
        <right/>
        <top/>
        <bottom/>
      </border>
    </dxf>
    <dxf>
      <numFmt numFmtId="2" formatCode="0.00"/>
      <alignment horizontal="general" vertical="bottom" textRotation="0" wrapText="1" indent="0" justifyLastLine="0" shrinkToFit="0" readingOrder="0"/>
      <border diagonalUp="0" diagonalDown="0" outline="0">
        <left/>
        <right/>
        <top/>
        <bottom/>
      </border>
    </dxf>
    <dxf>
      <numFmt numFmtId="35" formatCode="_(* #,##0.00_);_(* \(#,##0.00\);_(* &quot;-&quot;??_);_(@_)"/>
    </dxf>
    <dxf>
      <numFmt numFmtId="2" formatCode="0.00"/>
      <alignment horizontal="general" vertical="bottom" textRotation="0" wrapText="1" indent="0" justifyLastLine="0" shrinkToFit="0" readingOrder="0"/>
      <border diagonalUp="0" diagonalDown="0" outline="0">
        <left/>
        <right/>
        <top/>
        <bottom/>
      </border>
    </dxf>
    <dxf>
      <font>
        <b/>
        <i val="0"/>
        <strike val="0"/>
        <condense val="0"/>
        <extend val="0"/>
        <outline val="0"/>
        <shadow val="0"/>
        <u val="none"/>
        <vertAlign val="baseline"/>
        <sz val="10"/>
        <color theme="1"/>
        <name val="ArialMT"/>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i val="0"/>
        <strike val="0"/>
        <condense val="0"/>
        <extend val="0"/>
        <outline val="0"/>
        <shadow val="0"/>
        <u val="none"/>
        <vertAlign val="baseline"/>
        <sz val="10"/>
        <color theme="1"/>
        <name val="ArialMT"/>
        <scheme val="none"/>
      </font>
      <fill>
        <patternFill patternType="none">
          <fgColor indexed="64"/>
          <bgColor auto="1"/>
        </patternFill>
      </fill>
      <alignment horizontal="center" vertical="center" textRotation="0" wrapText="1" indent="0" justifyLastLine="0" shrinkToFit="0" readingOrder="0"/>
    </dxf>
    <dxf>
      <numFmt numFmtId="2" formatCode="0.00"/>
      <alignment textRotation="0" wrapText="1" indent="0" justifyLastLine="0" shrinkToFit="0" readingOrder="0"/>
    </dxf>
    <dxf>
      <numFmt numFmtId="2" formatCode="0.00"/>
      <fill>
        <patternFill patternType="none">
          <fgColor indexed="64"/>
          <bgColor auto="1"/>
        </patternFill>
      </fill>
      <alignment textRotation="0" wrapText="1" indent="0" justifyLastLine="0" shrinkToFit="0" readingOrder="0"/>
    </dxf>
    <dxf>
      <font>
        <b val="0"/>
        <i val="0"/>
        <strike val="0"/>
        <condense val="0"/>
        <extend val="0"/>
        <outline val="0"/>
        <shadow val="0"/>
        <u val="none"/>
        <vertAlign val="baseline"/>
        <sz val="10"/>
        <color theme="1"/>
        <name val="ArialMT"/>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MT"/>
        <scheme val="none"/>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MT"/>
        <scheme val="none"/>
      </font>
      <numFmt numFmtId="34" formatCode="_(&quot;$&quot;* #,##0.00_);_(&quot;$&quot;* \(#,##0.00\);_(&quot;$&quot;* &quot;-&quot;??_);_(@_)"/>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MT"/>
        <scheme val="none"/>
      </font>
      <numFmt numFmtId="0" formatCode="General"/>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MT"/>
        <scheme val="none"/>
      </font>
      <numFmt numFmtId="34" formatCode="_(&quot;$&quot;* #,##0.00_);_(&quot;$&quot;* \(#,##0.00\);_(&quot;$&quot;* &quot;-&quot;??_);_(@_)"/>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MT"/>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MT"/>
        <scheme val="none"/>
      </font>
      <numFmt numFmtId="34" formatCode="_(&quot;$&quot;* #,##0.00_);_(&quot;$&quot;* \(#,##0.00\);_(&quot;$&quot;* &quot;-&quot;??_);_(@_)"/>
      <fill>
        <patternFill patternType="none">
          <fgColor indexed="64"/>
          <bgColor auto="1"/>
        </patternFill>
      </fill>
      <alignment horizontal="center" vertical="center" textRotation="0" wrapText="0" indent="0" justifyLastLine="0" shrinkToFit="0" readingOrder="0"/>
    </dxf>
    <dxf>
      <fill>
        <patternFill patternType="none">
          <fgColor indexed="64"/>
          <bgColor auto="1"/>
        </patternFill>
      </fill>
    </dxf>
    <dxf>
      <font>
        <b/>
        <i val="0"/>
        <strike val="0"/>
        <condense val="0"/>
        <extend val="0"/>
        <outline val="0"/>
        <shadow val="0"/>
        <u val="none"/>
        <vertAlign val="baseline"/>
        <sz val="10"/>
        <color theme="0"/>
        <name val="ArialMT"/>
        <scheme val="none"/>
      </font>
      <fill>
        <patternFill patternType="none">
          <fgColor indexed="64"/>
          <bgColor auto="1"/>
        </patternFill>
      </fill>
      <alignment horizontal="center" vertical="center" textRotation="0" wrapText="1" indent="0" justifyLastLine="0" shrinkToFit="0" readingOrder="0"/>
    </dxf>
    <dxf>
      <numFmt numFmtId="34" formatCode="_(&quot;$&quot;* #,##0.00_);_(&quot;$&quot;* \(#,##0.00\);_(&quot;$&quot;* &quot;-&quot;??_);_(@_)"/>
    </dxf>
    <dxf>
      <numFmt numFmtId="34" formatCode="_(&quot;$&quot;* #,##0.00_);_(&quot;$&quot;* \(#,##0.00\);_(&quot;$&quot;* &quot;-&quot;??_);_(@_)"/>
    </dxf>
    <dxf>
      <numFmt numFmtId="34" formatCode="_(&quot;$&quot;* #,##0.00_);_(&quot;$&quot;* \(#,##0.00\);_(&quot;$&quot;* &quot;-&quot;??_);_(@_)"/>
    </dxf>
    <dxf>
      <font>
        <b/>
        <i val="0"/>
        <strike val="0"/>
        <condense val="0"/>
        <extend val="0"/>
        <outline val="0"/>
        <shadow val="0"/>
        <u val="none"/>
        <vertAlign val="baseline"/>
        <sz val="10"/>
        <color theme="0"/>
        <name val="ArialMT"/>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MT"/>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theme="1"/>
        <name val="ArialMT"/>
        <scheme val="none"/>
      </font>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817"/>
      <tableStyleElement type="headerRow" dxfId="81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tmp"/><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51227</xdr:colOff>
      <xdr:row>1</xdr:row>
      <xdr:rowOff>38099</xdr:rowOff>
    </xdr:from>
    <xdr:to>
      <xdr:col>9</xdr:col>
      <xdr:colOff>1298080</xdr:colOff>
      <xdr:row>5</xdr:row>
      <xdr:rowOff>53136</xdr:rowOff>
    </xdr:to>
    <xdr:pic>
      <xdr:nvPicPr>
        <xdr:cNvPr id="2" name="Picture 1" descr="logo">
          <a:extLst>
            <a:ext uri="{FF2B5EF4-FFF2-40B4-BE49-F238E27FC236}">
              <a16:creationId xmlns:a16="http://schemas.microsoft.com/office/drawing/2014/main" id="{1F535D48-EE43-4D0A-BE6C-247BC1201D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50403" y="194981"/>
          <a:ext cx="1246853" cy="5753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23</xdr:row>
      <xdr:rowOff>28575</xdr:rowOff>
    </xdr:from>
    <xdr:to>
      <xdr:col>1</xdr:col>
      <xdr:colOff>0</xdr:colOff>
      <xdr:row>24</xdr:row>
      <xdr:rowOff>152400</xdr:rowOff>
    </xdr:to>
    <xdr:sp macro="" textlink="">
      <xdr:nvSpPr>
        <xdr:cNvPr id="5" name="Arrow: Right 4">
          <a:extLst>
            <a:ext uri="{FF2B5EF4-FFF2-40B4-BE49-F238E27FC236}">
              <a16:creationId xmlns:a16="http://schemas.microsoft.com/office/drawing/2014/main" id="{4D8049E6-EA3E-4BB8-98DD-EB29DC4DB1EF}"/>
            </a:ext>
          </a:extLst>
        </xdr:cNvPr>
        <xdr:cNvSpPr/>
      </xdr:nvSpPr>
      <xdr:spPr>
        <a:xfrm>
          <a:off x="4610100" y="10534650"/>
          <a:ext cx="590550" cy="314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28</xdr:row>
      <xdr:rowOff>266700</xdr:rowOff>
    </xdr:from>
    <xdr:to>
      <xdr:col>1</xdr:col>
      <xdr:colOff>0</xdr:colOff>
      <xdr:row>28</xdr:row>
      <xdr:rowOff>581025</xdr:rowOff>
    </xdr:to>
    <xdr:sp macro="" textlink="">
      <xdr:nvSpPr>
        <xdr:cNvPr id="7" name="Arrow: Right 6">
          <a:extLst>
            <a:ext uri="{FF2B5EF4-FFF2-40B4-BE49-F238E27FC236}">
              <a16:creationId xmlns:a16="http://schemas.microsoft.com/office/drawing/2014/main" id="{76859196-069B-4E49-8714-7998D05D8EA8}"/>
            </a:ext>
          </a:extLst>
        </xdr:cNvPr>
        <xdr:cNvSpPr/>
      </xdr:nvSpPr>
      <xdr:spPr>
        <a:xfrm>
          <a:off x="4705351" y="9839325"/>
          <a:ext cx="590550" cy="314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679450</xdr:colOff>
      <xdr:row>1</xdr:row>
      <xdr:rowOff>95250</xdr:rowOff>
    </xdr:from>
    <xdr:to>
      <xdr:col>8</xdr:col>
      <xdr:colOff>877646</xdr:colOff>
      <xdr:row>4</xdr:row>
      <xdr:rowOff>302895</xdr:rowOff>
    </xdr:to>
    <xdr:pic>
      <xdr:nvPicPr>
        <xdr:cNvPr id="2" name="Picture 1" descr="logo">
          <a:extLst>
            <a:ext uri="{FF2B5EF4-FFF2-40B4-BE49-F238E27FC236}">
              <a16:creationId xmlns:a16="http://schemas.microsoft.com/office/drawing/2014/main" id="{E498C5E7-632F-44D8-949B-EE78FB488A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32825" y="285750"/>
          <a:ext cx="1245946" cy="5886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392733</xdr:colOff>
      <xdr:row>1</xdr:row>
      <xdr:rowOff>59220</xdr:rowOff>
    </xdr:from>
    <xdr:to>
      <xdr:col>8</xdr:col>
      <xdr:colOff>205787</xdr:colOff>
      <xdr:row>5</xdr:row>
      <xdr:rowOff>42747</xdr:rowOff>
    </xdr:to>
    <xdr:pic>
      <xdr:nvPicPr>
        <xdr:cNvPr id="3" name="Picture 2" descr="logo">
          <a:extLst>
            <a:ext uri="{FF2B5EF4-FFF2-40B4-BE49-F238E27FC236}">
              <a16:creationId xmlns:a16="http://schemas.microsoft.com/office/drawing/2014/main" id="{0F756097-D8DC-49BA-B7A0-932FE31BD4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70108" y="249720"/>
          <a:ext cx="1241804" cy="5886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7</xdr:col>
      <xdr:colOff>19050</xdr:colOff>
      <xdr:row>8</xdr:row>
      <xdr:rowOff>76200</xdr:rowOff>
    </xdr:from>
    <xdr:to>
      <xdr:col>8</xdr:col>
      <xdr:colOff>495300</xdr:colOff>
      <xdr:row>14</xdr:row>
      <xdr:rowOff>0</xdr:rowOff>
    </xdr:to>
    <xdr:sp macro="" textlink="">
      <xdr:nvSpPr>
        <xdr:cNvPr id="2" name="Arrow: Right 1">
          <a:extLst>
            <a:ext uri="{FF2B5EF4-FFF2-40B4-BE49-F238E27FC236}">
              <a16:creationId xmlns:a16="http://schemas.microsoft.com/office/drawing/2014/main" id="{D5F0504F-CF35-40DF-845F-115F85346AD0}"/>
            </a:ext>
          </a:extLst>
        </xdr:cNvPr>
        <xdr:cNvSpPr/>
      </xdr:nvSpPr>
      <xdr:spPr>
        <a:xfrm>
          <a:off x="8648700" y="5791200"/>
          <a:ext cx="1085850" cy="14478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10</xdr:col>
      <xdr:colOff>342900</xdr:colOff>
      <xdr:row>1</xdr:row>
      <xdr:rowOff>66675</xdr:rowOff>
    </xdr:from>
    <xdr:to>
      <xdr:col>11</xdr:col>
      <xdr:colOff>582371</xdr:colOff>
      <xdr:row>3</xdr:row>
      <xdr:rowOff>293370</xdr:rowOff>
    </xdr:to>
    <xdr:pic>
      <xdr:nvPicPr>
        <xdr:cNvPr id="3" name="Picture 2" descr="logo">
          <a:extLst>
            <a:ext uri="{FF2B5EF4-FFF2-40B4-BE49-F238E27FC236}">
              <a16:creationId xmlns:a16="http://schemas.microsoft.com/office/drawing/2014/main" id="{A3236A9D-450C-4347-9234-1D941F7BD2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63525" y="333375"/>
          <a:ext cx="1249121" cy="5886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5</xdr:col>
      <xdr:colOff>1104711</xdr:colOff>
      <xdr:row>1</xdr:row>
      <xdr:rowOff>63499</xdr:rowOff>
    </xdr:from>
    <xdr:to>
      <xdr:col>8</xdr:col>
      <xdr:colOff>526664</xdr:colOff>
      <xdr:row>4</xdr:row>
      <xdr:rowOff>81373</xdr:rowOff>
    </xdr:to>
    <xdr:pic>
      <xdr:nvPicPr>
        <xdr:cNvPr id="3" name="Picture 2" descr="logo">
          <a:extLst>
            <a:ext uri="{FF2B5EF4-FFF2-40B4-BE49-F238E27FC236}">
              <a16:creationId xmlns:a16="http://schemas.microsoft.com/office/drawing/2014/main" id="{48616A31-4322-49BC-916E-8E31CDC103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24836" y="253999"/>
          <a:ext cx="1241039" cy="589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5</xdr:col>
      <xdr:colOff>746125</xdr:colOff>
      <xdr:row>1</xdr:row>
      <xdr:rowOff>103216</xdr:rowOff>
    </xdr:from>
    <xdr:to>
      <xdr:col>8</xdr:col>
      <xdr:colOff>585620</xdr:colOff>
      <xdr:row>3</xdr:row>
      <xdr:rowOff>317211</xdr:rowOff>
    </xdr:to>
    <xdr:pic>
      <xdr:nvPicPr>
        <xdr:cNvPr id="2" name="Picture 1" descr="logo">
          <a:extLst>
            <a:ext uri="{FF2B5EF4-FFF2-40B4-BE49-F238E27FC236}">
              <a16:creationId xmlns:a16="http://schemas.microsoft.com/office/drawing/2014/main" id="{FC391FBF-3581-462B-844C-C1B28C3D27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28250" y="293716"/>
          <a:ext cx="1236495" cy="5949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358587</xdr:colOff>
      <xdr:row>1</xdr:row>
      <xdr:rowOff>58830</xdr:rowOff>
    </xdr:from>
    <xdr:to>
      <xdr:col>8</xdr:col>
      <xdr:colOff>545900</xdr:colOff>
      <xdr:row>4</xdr:row>
      <xdr:rowOff>73529</xdr:rowOff>
    </xdr:to>
    <xdr:pic>
      <xdr:nvPicPr>
        <xdr:cNvPr id="2" name="Picture 1" descr="logo">
          <a:extLst>
            <a:ext uri="{FF2B5EF4-FFF2-40B4-BE49-F238E27FC236}">
              <a16:creationId xmlns:a16="http://schemas.microsoft.com/office/drawing/2014/main" id="{5476140E-3332-4331-B616-B84B780EE5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18058" y="249330"/>
          <a:ext cx="1240666" cy="586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oneCellAnchor>
    <xdr:from>
      <xdr:col>8</xdr:col>
      <xdr:colOff>419100</xdr:colOff>
      <xdr:row>1</xdr:row>
      <xdr:rowOff>57150</xdr:rowOff>
    </xdr:from>
    <xdr:ext cx="1249121" cy="588645"/>
    <xdr:pic>
      <xdr:nvPicPr>
        <xdr:cNvPr id="2" name="Picture 1" descr="logo">
          <a:extLst>
            <a:ext uri="{FF2B5EF4-FFF2-40B4-BE49-F238E27FC236}">
              <a16:creationId xmlns:a16="http://schemas.microsoft.com/office/drawing/2014/main" id="{98E1D1B0-16E6-4A4D-81C4-87A716F960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72625" y="247650"/>
          <a:ext cx="1249121" cy="58864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7.xml><?xml version="1.0" encoding="utf-8"?>
<xdr:wsDr xmlns:xdr="http://schemas.openxmlformats.org/drawingml/2006/spreadsheetDrawing" xmlns:a="http://schemas.openxmlformats.org/drawingml/2006/main">
  <xdr:twoCellAnchor editAs="oneCell">
    <xdr:from>
      <xdr:col>7</xdr:col>
      <xdr:colOff>168086</xdr:colOff>
      <xdr:row>1</xdr:row>
      <xdr:rowOff>47624</xdr:rowOff>
    </xdr:from>
    <xdr:to>
      <xdr:col>8</xdr:col>
      <xdr:colOff>420113</xdr:colOff>
      <xdr:row>4</xdr:row>
      <xdr:rowOff>75023</xdr:rowOff>
    </xdr:to>
    <xdr:pic>
      <xdr:nvPicPr>
        <xdr:cNvPr id="2" name="Picture 1" descr="logo">
          <a:extLst>
            <a:ext uri="{FF2B5EF4-FFF2-40B4-BE49-F238E27FC236}">
              <a16:creationId xmlns:a16="http://schemas.microsoft.com/office/drawing/2014/main" id="{67A0061B-8958-46C8-91EF-303863D31F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52061" y="241299"/>
          <a:ext cx="1285489" cy="589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1117600</xdr:colOff>
      <xdr:row>5</xdr:row>
      <xdr:rowOff>719667</xdr:rowOff>
    </xdr:from>
    <xdr:ext cx="184731" cy="264560"/>
    <xdr:sp macro="" textlink="">
      <xdr:nvSpPr>
        <xdr:cNvPr id="3" name="TextBox 2">
          <a:extLst>
            <a:ext uri="{FF2B5EF4-FFF2-40B4-BE49-F238E27FC236}">
              <a16:creationId xmlns:a16="http://schemas.microsoft.com/office/drawing/2014/main" id="{652FA18B-56D9-419D-A4D4-09927EA01F65}"/>
            </a:ext>
          </a:extLst>
        </xdr:cNvPr>
        <xdr:cNvSpPr txBox="1"/>
      </xdr:nvSpPr>
      <xdr:spPr>
        <a:xfrm>
          <a:off x="4524375" y="170709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editAs="oneCell">
    <xdr:from>
      <xdr:col>4</xdr:col>
      <xdr:colOff>51766</xdr:colOff>
      <xdr:row>5</xdr:row>
      <xdr:rowOff>717550</xdr:rowOff>
    </xdr:from>
    <xdr:to>
      <xdr:col>8</xdr:col>
      <xdr:colOff>495053</xdr:colOff>
      <xdr:row>5</xdr:row>
      <xdr:rowOff>4219360</xdr:rowOff>
    </xdr:to>
    <xdr:pic>
      <xdr:nvPicPr>
        <xdr:cNvPr id="4" name="Picture 3">
          <a:extLst>
            <a:ext uri="{FF2B5EF4-FFF2-40B4-BE49-F238E27FC236}">
              <a16:creationId xmlns:a16="http://schemas.microsoft.com/office/drawing/2014/main" id="{F7F63130-48E1-4D3A-9376-2EB8A0E6B6B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015244" y="1653485"/>
          <a:ext cx="3979961" cy="350181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5</xdr:col>
      <xdr:colOff>936625</xdr:colOff>
      <xdr:row>1</xdr:row>
      <xdr:rowOff>90580</xdr:rowOff>
    </xdr:from>
    <xdr:to>
      <xdr:col>8</xdr:col>
      <xdr:colOff>901688</xdr:colOff>
      <xdr:row>4</xdr:row>
      <xdr:rowOff>108454</xdr:rowOff>
    </xdr:to>
    <xdr:pic>
      <xdr:nvPicPr>
        <xdr:cNvPr id="2" name="Picture 1" descr="logo">
          <a:extLst>
            <a:ext uri="{FF2B5EF4-FFF2-40B4-BE49-F238E27FC236}">
              <a16:creationId xmlns:a16="http://schemas.microsoft.com/office/drawing/2014/main" id="{981AB5C1-6909-4195-A387-64D1C774E8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0" y="281080"/>
          <a:ext cx="1235063" cy="589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oneCellAnchor>
    <xdr:from>
      <xdr:col>7</xdr:col>
      <xdr:colOff>1181100</xdr:colOff>
      <xdr:row>1</xdr:row>
      <xdr:rowOff>47625</xdr:rowOff>
    </xdr:from>
    <xdr:ext cx="1249121" cy="588645"/>
    <xdr:pic>
      <xdr:nvPicPr>
        <xdr:cNvPr id="2" name="Picture 1" descr="logo">
          <a:extLst>
            <a:ext uri="{FF2B5EF4-FFF2-40B4-BE49-F238E27FC236}">
              <a16:creationId xmlns:a16="http://schemas.microsoft.com/office/drawing/2014/main" id="{73F0444C-B426-403E-B6FF-A1F2632DDA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15650" y="238125"/>
          <a:ext cx="1249121" cy="58864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13</xdr:col>
      <xdr:colOff>1344839</xdr:colOff>
      <xdr:row>1</xdr:row>
      <xdr:rowOff>51706</xdr:rowOff>
    </xdr:from>
    <xdr:to>
      <xdr:col>14</xdr:col>
      <xdr:colOff>1241863</xdr:colOff>
      <xdr:row>4</xdr:row>
      <xdr:rowOff>277040</xdr:rowOff>
    </xdr:to>
    <xdr:pic>
      <xdr:nvPicPr>
        <xdr:cNvPr id="2" name="Picture 1" descr="logo">
          <a:extLst>
            <a:ext uri="{FF2B5EF4-FFF2-40B4-BE49-F238E27FC236}">
              <a16:creationId xmlns:a16="http://schemas.microsoft.com/office/drawing/2014/main" id="{D3CCBD60-210B-4E85-BEDC-2FD7996EBF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600839" y="242206"/>
          <a:ext cx="1246399" cy="6063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oneCellAnchor>
    <xdr:from>
      <xdr:col>7</xdr:col>
      <xdr:colOff>857250</xdr:colOff>
      <xdr:row>1</xdr:row>
      <xdr:rowOff>47625</xdr:rowOff>
    </xdr:from>
    <xdr:ext cx="1249121" cy="588645"/>
    <xdr:pic>
      <xdr:nvPicPr>
        <xdr:cNvPr id="2" name="Picture 1" descr="logo">
          <a:extLst>
            <a:ext uri="{FF2B5EF4-FFF2-40B4-BE49-F238E27FC236}">
              <a16:creationId xmlns:a16="http://schemas.microsoft.com/office/drawing/2014/main" id="{C647FB31-D99F-42FA-A92C-B9BA005DA8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91550" y="238125"/>
          <a:ext cx="1249121" cy="58864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1.xml><?xml version="1.0" encoding="utf-8"?>
<xdr:wsDr xmlns:xdr="http://schemas.openxmlformats.org/drawingml/2006/spreadsheetDrawing" xmlns:a="http://schemas.openxmlformats.org/drawingml/2006/main">
  <xdr:oneCellAnchor>
    <xdr:from>
      <xdr:col>8</xdr:col>
      <xdr:colOff>419100</xdr:colOff>
      <xdr:row>1</xdr:row>
      <xdr:rowOff>57150</xdr:rowOff>
    </xdr:from>
    <xdr:ext cx="1249121" cy="588645"/>
    <xdr:pic>
      <xdr:nvPicPr>
        <xdr:cNvPr id="2" name="Picture 1" descr="logo">
          <a:extLst>
            <a:ext uri="{FF2B5EF4-FFF2-40B4-BE49-F238E27FC236}">
              <a16:creationId xmlns:a16="http://schemas.microsoft.com/office/drawing/2014/main" id="{A5401162-C720-4F11-8050-9515DBD1DE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72625" y="247650"/>
          <a:ext cx="1249121" cy="58864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2.xml><?xml version="1.0" encoding="utf-8"?>
<xdr:wsDr xmlns:xdr="http://schemas.openxmlformats.org/drawingml/2006/spreadsheetDrawing" xmlns:a="http://schemas.openxmlformats.org/drawingml/2006/main">
  <xdr:oneCellAnchor>
    <xdr:from>
      <xdr:col>4</xdr:col>
      <xdr:colOff>295275</xdr:colOff>
      <xdr:row>1</xdr:row>
      <xdr:rowOff>38100</xdr:rowOff>
    </xdr:from>
    <xdr:ext cx="1249121" cy="588645"/>
    <xdr:pic>
      <xdr:nvPicPr>
        <xdr:cNvPr id="2" name="Picture 1" descr="logo">
          <a:extLst>
            <a:ext uri="{FF2B5EF4-FFF2-40B4-BE49-F238E27FC236}">
              <a16:creationId xmlns:a16="http://schemas.microsoft.com/office/drawing/2014/main" id="{D6AA3E56-C792-4240-B0D2-4041F3E592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15900" y="200025"/>
          <a:ext cx="1249121" cy="58864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3.xml><?xml version="1.0" encoding="utf-8"?>
<xdr:wsDr xmlns:xdr="http://schemas.openxmlformats.org/drawingml/2006/spreadsheetDrawing" xmlns:a="http://schemas.openxmlformats.org/drawingml/2006/main">
  <xdr:twoCellAnchor editAs="oneCell">
    <xdr:from>
      <xdr:col>9</xdr:col>
      <xdr:colOff>571500</xdr:colOff>
      <xdr:row>1</xdr:row>
      <xdr:rowOff>57150</xdr:rowOff>
    </xdr:from>
    <xdr:to>
      <xdr:col>11</xdr:col>
      <xdr:colOff>601421</xdr:colOff>
      <xdr:row>3</xdr:row>
      <xdr:rowOff>283845</xdr:rowOff>
    </xdr:to>
    <xdr:pic>
      <xdr:nvPicPr>
        <xdr:cNvPr id="2" name="Picture 1" descr="logo">
          <a:extLst>
            <a:ext uri="{FF2B5EF4-FFF2-40B4-BE49-F238E27FC236}">
              <a16:creationId xmlns:a16="http://schemas.microsoft.com/office/drawing/2014/main" id="{2F92E20F-189C-4831-995B-5E0CA86E22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314325"/>
          <a:ext cx="1249121" cy="6457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5</xdr:col>
      <xdr:colOff>911225</xdr:colOff>
      <xdr:row>1</xdr:row>
      <xdr:rowOff>95250</xdr:rowOff>
    </xdr:from>
    <xdr:to>
      <xdr:col>6</xdr:col>
      <xdr:colOff>767157</xdr:colOff>
      <xdr:row>4</xdr:row>
      <xdr:rowOff>350520</xdr:rowOff>
    </xdr:to>
    <xdr:pic>
      <xdr:nvPicPr>
        <xdr:cNvPr id="2" name="Picture 1" descr="logo">
          <a:extLst>
            <a:ext uri="{FF2B5EF4-FFF2-40B4-BE49-F238E27FC236}">
              <a16:creationId xmlns:a16="http://schemas.microsoft.com/office/drawing/2014/main" id="{98688F7B-6659-4155-A7DE-A43811FDE3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39600" y="285750"/>
          <a:ext cx="1252931" cy="6362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6</xdr:col>
      <xdr:colOff>1247775</xdr:colOff>
      <xdr:row>1</xdr:row>
      <xdr:rowOff>38100</xdr:rowOff>
    </xdr:from>
    <xdr:to>
      <xdr:col>8</xdr:col>
      <xdr:colOff>610946</xdr:colOff>
      <xdr:row>4</xdr:row>
      <xdr:rowOff>248920</xdr:rowOff>
    </xdr:to>
    <xdr:pic>
      <xdr:nvPicPr>
        <xdr:cNvPr id="2" name="Picture 1" descr="logo">
          <a:extLst>
            <a:ext uri="{FF2B5EF4-FFF2-40B4-BE49-F238E27FC236}">
              <a16:creationId xmlns:a16="http://schemas.microsoft.com/office/drawing/2014/main" id="{17F267E0-CAEC-467E-9E7A-C67BFE404E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43675" y="200025"/>
          <a:ext cx="1249121" cy="5886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6</xdr:col>
      <xdr:colOff>244475</xdr:colOff>
      <xdr:row>1</xdr:row>
      <xdr:rowOff>111125</xdr:rowOff>
    </xdr:from>
    <xdr:to>
      <xdr:col>7</xdr:col>
      <xdr:colOff>144221</xdr:colOff>
      <xdr:row>4</xdr:row>
      <xdr:rowOff>369570</xdr:rowOff>
    </xdr:to>
    <xdr:pic>
      <xdr:nvPicPr>
        <xdr:cNvPr id="2" name="Picture 1" descr="logo">
          <a:extLst>
            <a:ext uri="{FF2B5EF4-FFF2-40B4-BE49-F238E27FC236}">
              <a16:creationId xmlns:a16="http://schemas.microsoft.com/office/drawing/2014/main" id="{40153806-C27B-4CBF-A851-22B3C33FD3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89975" y="301625"/>
          <a:ext cx="1249121" cy="6394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8</xdr:col>
      <xdr:colOff>104775</xdr:colOff>
      <xdr:row>1</xdr:row>
      <xdr:rowOff>66675</xdr:rowOff>
    </xdr:from>
    <xdr:to>
      <xdr:col>8</xdr:col>
      <xdr:colOff>1353896</xdr:colOff>
      <xdr:row>4</xdr:row>
      <xdr:rowOff>342863</xdr:rowOff>
    </xdr:to>
    <xdr:pic>
      <xdr:nvPicPr>
        <xdr:cNvPr id="2" name="Picture 1" descr="logo">
          <a:extLst>
            <a:ext uri="{FF2B5EF4-FFF2-40B4-BE49-F238E27FC236}">
              <a16:creationId xmlns:a16="http://schemas.microsoft.com/office/drawing/2014/main" id="{EC616C56-42F2-4F3A-A2C9-C13500029B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363700" y="228600"/>
          <a:ext cx="1249121" cy="5981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7</xdr:col>
      <xdr:colOff>876300</xdr:colOff>
      <xdr:row>1</xdr:row>
      <xdr:rowOff>66675</xdr:rowOff>
    </xdr:from>
    <xdr:to>
      <xdr:col>9</xdr:col>
      <xdr:colOff>29921</xdr:colOff>
      <xdr:row>4</xdr:row>
      <xdr:rowOff>340995</xdr:rowOff>
    </xdr:to>
    <xdr:pic>
      <xdr:nvPicPr>
        <xdr:cNvPr id="2" name="Picture 1" descr="logo">
          <a:extLst>
            <a:ext uri="{FF2B5EF4-FFF2-40B4-BE49-F238E27FC236}">
              <a16:creationId xmlns:a16="http://schemas.microsoft.com/office/drawing/2014/main" id="{F646AFB9-4AF8-42A0-99E5-6953EF4BFE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20400" y="228600"/>
          <a:ext cx="1249121" cy="5981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590550</xdr:colOff>
      <xdr:row>1</xdr:row>
      <xdr:rowOff>66675</xdr:rowOff>
    </xdr:from>
    <xdr:to>
      <xdr:col>10</xdr:col>
      <xdr:colOff>620471</xdr:colOff>
      <xdr:row>4</xdr:row>
      <xdr:rowOff>4156</xdr:rowOff>
    </xdr:to>
    <xdr:pic>
      <xdr:nvPicPr>
        <xdr:cNvPr id="2" name="Picture 1" descr="logo">
          <a:extLst>
            <a:ext uri="{FF2B5EF4-FFF2-40B4-BE49-F238E27FC236}">
              <a16:creationId xmlns:a16="http://schemas.microsoft.com/office/drawing/2014/main" id="{4780EC45-6867-463D-A602-2BA81F325E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15475" y="247650"/>
          <a:ext cx="1249121" cy="5947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590550</xdr:colOff>
      <xdr:row>1</xdr:row>
      <xdr:rowOff>66675</xdr:rowOff>
    </xdr:from>
    <xdr:to>
      <xdr:col>10</xdr:col>
      <xdr:colOff>620471</xdr:colOff>
      <xdr:row>3</xdr:row>
      <xdr:rowOff>299431</xdr:rowOff>
    </xdr:to>
    <xdr:pic>
      <xdr:nvPicPr>
        <xdr:cNvPr id="3" name="Picture 2" descr="logo">
          <a:extLst>
            <a:ext uri="{FF2B5EF4-FFF2-40B4-BE49-F238E27FC236}">
              <a16:creationId xmlns:a16="http://schemas.microsoft.com/office/drawing/2014/main" id="{08D9EA62-D598-4504-95C4-6786D70057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15475" y="247650"/>
          <a:ext cx="1249121" cy="5947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190500</xdr:colOff>
      <xdr:row>1</xdr:row>
      <xdr:rowOff>27333</xdr:rowOff>
    </xdr:from>
    <xdr:to>
      <xdr:col>9</xdr:col>
      <xdr:colOff>242</xdr:colOff>
      <xdr:row>4</xdr:row>
      <xdr:rowOff>237175</xdr:rowOff>
    </xdr:to>
    <xdr:pic>
      <xdr:nvPicPr>
        <xdr:cNvPr id="2" name="Picture 1" descr="logo">
          <a:extLst>
            <a:ext uri="{FF2B5EF4-FFF2-40B4-BE49-F238E27FC236}">
              <a16:creationId xmlns:a16="http://schemas.microsoft.com/office/drawing/2014/main" id="{61F7B8ED-6151-4DA7-B4D0-A450913CC0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30609" y="391768"/>
          <a:ext cx="1251191" cy="5971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1125257</xdr:colOff>
      <xdr:row>1</xdr:row>
      <xdr:rowOff>150597</xdr:rowOff>
    </xdr:from>
    <xdr:to>
      <xdr:col>8</xdr:col>
      <xdr:colOff>519447</xdr:colOff>
      <xdr:row>4</xdr:row>
      <xdr:rowOff>362509</xdr:rowOff>
    </xdr:to>
    <xdr:pic>
      <xdr:nvPicPr>
        <xdr:cNvPr id="5" name="Picture 4" descr="logo">
          <a:extLst>
            <a:ext uri="{FF2B5EF4-FFF2-40B4-BE49-F238E27FC236}">
              <a16:creationId xmlns:a16="http://schemas.microsoft.com/office/drawing/2014/main" id="{1F4966FF-73D4-4889-80D9-7BFF23B6F2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61382" y="341097"/>
          <a:ext cx="1251565" cy="5929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200025</xdr:colOff>
      <xdr:row>1</xdr:row>
      <xdr:rowOff>85725</xdr:rowOff>
    </xdr:from>
    <xdr:to>
      <xdr:col>9</xdr:col>
      <xdr:colOff>1345</xdr:colOff>
      <xdr:row>4</xdr:row>
      <xdr:rowOff>296545</xdr:rowOff>
    </xdr:to>
    <xdr:pic>
      <xdr:nvPicPr>
        <xdr:cNvPr id="4" name="Picture 3" descr="logo">
          <a:extLst>
            <a:ext uri="{FF2B5EF4-FFF2-40B4-BE49-F238E27FC236}">
              <a16:creationId xmlns:a16="http://schemas.microsoft.com/office/drawing/2014/main" id="{5A5DCFD4-3824-4369-838C-1F16B4E20F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82075" y="276225"/>
          <a:ext cx="1249121" cy="5886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190500</xdr:colOff>
      <xdr:row>1</xdr:row>
      <xdr:rowOff>27333</xdr:rowOff>
    </xdr:from>
    <xdr:to>
      <xdr:col>8</xdr:col>
      <xdr:colOff>1438516</xdr:colOff>
      <xdr:row>4</xdr:row>
      <xdr:rowOff>248770</xdr:rowOff>
    </xdr:to>
    <xdr:pic>
      <xdr:nvPicPr>
        <xdr:cNvPr id="2" name="Picture 1" descr="logo">
          <a:extLst>
            <a:ext uri="{FF2B5EF4-FFF2-40B4-BE49-F238E27FC236}">
              <a16:creationId xmlns:a16="http://schemas.microsoft.com/office/drawing/2014/main" id="{2C1D3603-9F72-433A-AD0D-E914C92713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44375" y="217833"/>
          <a:ext cx="1251191" cy="5897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158750</xdr:colOff>
      <xdr:row>1</xdr:row>
      <xdr:rowOff>27333</xdr:rowOff>
    </xdr:from>
    <xdr:to>
      <xdr:col>8</xdr:col>
      <xdr:colOff>1406766</xdr:colOff>
      <xdr:row>4</xdr:row>
      <xdr:rowOff>248770</xdr:rowOff>
    </xdr:to>
    <xdr:pic>
      <xdr:nvPicPr>
        <xdr:cNvPr id="3" name="Picture 2" descr="logo">
          <a:extLst>
            <a:ext uri="{FF2B5EF4-FFF2-40B4-BE49-F238E27FC236}">
              <a16:creationId xmlns:a16="http://schemas.microsoft.com/office/drawing/2014/main" id="{043E40D2-2F1F-4D8A-9E1B-DDFF82DFA1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12250" y="217833"/>
          <a:ext cx="1248016" cy="6024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oneCellAnchor>
    <xdr:from>
      <xdr:col>8</xdr:col>
      <xdr:colOff>419100</xdr:colOff>
      <xdr:row>1</xdr:row>
      <xdr:rowOff>57150</xdr:rowOff>
    </xdr:from>
    <xdr:ext cx="1249121" cy="588645"/>
    <xdr:pic>
      <xdr:nvPicPr>
        <xdr:cNvPr id="3" name="Picture 2" descr="logo">
          <a:extLst>
            <a:ext uri="{FF2B5EF4-FFF2-40B4-BE49-F238E27FC236}">
              <a16:creationId xmlns:a16="http://schemas.microsoft.com/office/drawing/2014/main" id="{0BCD10EA-B579-42FD-97BD-62015AF71E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72625" y="247650"/>
          <a:ext cx="1249121" cy="58864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7</xdr:col>
      <xdr:colOff>568325</xdr:colOff>
      <xdr:row>1</xdr:row>
      <xdr:rowOff>95250</xdr:rowOff>
    </xdr:from>
    <xdr:to>
      <xdr:col>8</xdr:col>
      <xdr:colOff>699846</xdr:colOff>
      <xdr:row>4</xdr:row>
      <xdr:rowOff>306070</xdr:rowOff>
    </xdr:to>
    <xdr:pic>
      <xdr:nvPicPr>
        <xdr:cNvPr id="4" name="Picture 3" descr="logo">
          <a:extLst>
            <a:ext uri="{FF2B5EF4-FFF2-40B4-BE49-F238E27FC236}">
              <a16:creationId xmlns:a16="http://schemas.microsoft.com/office/drawing/2014/main" id="{364F85D4-7E21-467A-9F07-BC2C30538E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42325" y="285750"/>
          <a:ext cx="1258646" cy="591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1DA841D8-0025-49D1-8CFE-C740DAF4F5D8}" name="Table75" displayName="Table75" ref="E10:F19" totalsRowShown="0" headerRowDxfId="815">
  <autoFilter ref="E10:F19" xr:uid="{1DA841D8-0025-49D1-8CFE-C740DAF4F5D8}"/>
  <tableColumns count="2">
    <tableColumn id="1" xr3:uid="{EC611F29-7888-4071-A4DA-390C80FB78FD}" name="Item" dataDxfId="814"/>
    <tableColumn id="2" xr3:uid="{3561A791-E6B3-484A-B584-A7A33EE5E2CB}" name="Value"/>
  </tableColumns>
  <tableStyleInfo name="TableStyleLight14"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40D3DE26-8DFB-46B1-91A2-E4256D5DFD20}" name="Table1.3_Safety351" displayName="Table1.3_Safety351" ref="B65:H75" totalsRowCount="1" headerRowDxfId="714" totalsRowDxfId="713">
  <autoFilter ref="B65:H74" xr:uid="{40D3DE26-8DFB-46B1-91A2-E4256D5DFD20}"/>
  <tableColumns count="7">
    <tableColumn id="1" xr3:uid="{5B32CDCF-0CB1-4F18-A625-9E00D050B16D}" name="Crash Severity" totalsRowLabel="Total" dataDxfId="712" totalsRowDxfId="711"/>
    <tableColumn id="2" xr3:uid="{49B4D5F4-F3DA-4F5A-98C0-E460A9A3FFAD}" name="Column1" totalsRowFunction="sum" dataDxfId="710" totalsRowDxfId="709" dataCellStyle="Input"/>
    <tableColumn id="3" xr3:uid="{2DF636F7-0384-4E2F-83A2-CF2DD3C2F3A0}" name="Number of Crashes per Year" totalsRowFunction="sum" dataDxfId="708" totalsRowDxfId="707" dataCellStyle="Input"/>
    <tableColumn id="4" xr3:uid="{E990AF87-F33E-44E7-85D1-11510CA817B2}" name="Crash Reduction Factor" totalsRowFunction="average" dataDxfId="706" totalsRowDxfId="705" dataCellStyle="Input"/>
    <tableColumn id="5" xr3:uid="{2FBBDE57-ACF9-4C61-BD81-46420EF53B02}" name="Predicted Annual Crash Reduction" totalsRowFunction="sum" dataDxfId="704" totalsRowDxfId="703" dataCellStyle="Comma">
      <calculatedColumnFormula>D66*E66</calculatedColumnFormula>
    </tableColumn>
    <tableColumn id="6" xr3:uid="{F18BB3DF-4119-46B7-B361-6E43B51CB914}" name="Value of Injuries" dataDxfId="702" totalsRowDxfId="701" dataCellStyle="Currency">
      <calculatedColumnFormula>VLOOKUP(Table1.3_Safety351[[#This Row],[Crash Severity]],TableA1_KABCO[],2,FALSE)</calculatedColumnFormula>
    </tableColumn>
    <tableColumn id="7" xr3:uid="{17593673-4A7F-4879-95A3-A3BCBECEFB42}" name="Annual Savings" totalsRowFunction="sum" dataDxfId="700" totalsRowDxfId="699" dataCellStyle="Currency">
      <calculatedColumnFormula>G66*F66</calculatedColumnFormula>
    </tableColumn>
  </tableColumns>
  <tableStyleInfo name="TableStyleLight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49E985FA-F823-4C72-894A-95685C002061}" name="Table1.3_Safety35152" displayName="Table1.3_Safety35152" ref="B81:H91" totalsRowCount="1" headerRowDxfId="698" totalsRowDxfId="697">
  <autoFilter ref="B81:H90" xr:uid="{49E985FA-F823-4C72-894A-95685C002061}"/>
  <tableColumns count="7">
    <tableColumn id="1" xr3:uid="{3CD62349-DA01-4D27-9143-2FD93C84BB92}" name="Crash Severity" totalsRowLabel="Total" dataDxfId="696" totalsRowDxfId="695"/>
    <tableColumn id="2" xr3:uid="{7E2F840A-2EFB-49F6-B1E8-8FD0E9390D5C}" name="Column1" totalsRowFunction="sum" dataDxfId="694" totalsRowDxfId="693" dataCellStyle="Input"/>
    <tableColumn id="3" xr3:uid="{4AFDCF24-46E5-4CE8-B330-C5592B56D68C}" name="Number of Crashes per Year" totalsRowFunction="sum" dataDxfId="692" totalsRowDxfId="691" dataCellStyle="Input"/>
    <tableColumn id="4" xr3:uid="{703E93B7-6232-46C9-842F-F9B117C3617A}" name="Crash Reduction Factor" totalsRowFunction="average" dataDxfId="690" totalsRowDxfId="689" dataCellStyle="Input"/>
    <tableColumn id="5" xr3:uid="{54E91B5A-5B9E-4A27-8DE3-DAC7A8167BC2}" name="Predicted Annual Crash Reduction" totalsRowFunction="sum" dataDxfId="688" totalsRowDxfId="687" dataCellStyle="Comma">
      <calculatedColumnFormula>D82*E82</calculatedColumnFormula>
    </tableColumn>
    <tableColumn id="6" xr3:uid="{DBB0AAD2-7A1A-4F1C-ACA1-F65FB5A91FFC}" name="Value of Injuries" dataDxfId="686" totalsRowDxfId="685" dataCellStyle="Currency">
      <calculatedColumnFormula>VLOOKUP(Table1.3_Safety35152[[#This Row],[Crash Severity]],TableA1_KABCO[],2,FALSE)</calculatedColumnFormula>
    </tableColumn>
    <tableColumn id="7" xr3:uid="{4C10A199-22DB-4D43-98FC-621064CA3E55}" name="Annual Savings" totalsRowFunction="sum" dataDxfId="684" totalsRowDxfId="683" dataCellStyle="Currency">
      <calculatedColumnFormula>G82*F82</calculatedColumnFormula>
    </tableColumn>
  </tableColumns>
  <tableStyleInfo name="TableStyleLight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B1A9A6C1-19E0-4948-8DB0-5B9D8E5EACDC}" name="Table1B1_SafetyBackup" displayName="Table1B1_SafetyBackup" ref="B15:G52" totalsRowCount="1" headerRowDxfId="682" dataDxfId="681" totalsRowDxfId="680">
  <autoFilter ref="B15:G51" xr:uid="{B1A9A6C1-19E0-4948-8DB0-5B9D8E5EACDC}"/>
  <tableColumns count="6">
    <tableColumn id="2" xr3:uid="{E32A803F-524F-42D3-8522-4B3B707E692E}" name="Year" dataDxfId="679" totalsRowDxfId="678">
      <calculatedColumnFormula>First_Year+'Appendix B. Project Info'!B20</calculatedColumnFormula>
    </tableColumn>
    <tableColumn id="3" xr3:uid="{BAC1E606-1CCA-496B-B251-17808F07B823}" name="Traffic Count" totalsRowFunction="sum" dataDxfId="677" totalsRowDxfId="676" dataCellStyle="Comma">
      <calculatedColumnFormula>'3D. TTS Backup All Years'!C51</calculatedColumnFormula>
    </tableColumn>
    <tableColumn id="4" xr3:uid="{89C799F8-579D-4658-AD12-813486170205}" name="Estimated Total Crashes, No Build Scenario (Crashes/Yr)" totalsRowFunction="sum" dataDxfId="675" totalsRowDxfId="674" dataCellStyle="Comma">
      <calculatedColumnFormula>SUM(Table1.1_Safety1[[#Totals],[No-Build Predicted Crashes]],Table1.2_Safety2[[#Totals],[No-Build Predicted Crashes]],Table1.3_Safety3[[#Totals],[No-Build Predicted Crashes]])</calculatedColumnFormula>
    </tableColumn>
    <tableColumn id="5" xr3:uid="{462D7B5B-0215-4A51-9FB9-8D646C5CD2C3}" name="Estimated Total Crashes, Preferred Action Scenario" totalsRowFunction="sum" dataDxfId="673" totalsRowDxfId="672" dataCellStyle="Comma">
      <calculatedColumnFormula>Table1B1_SafetyBackup[[#This Row],[Estimated Total Crashes, No Build Scenario (Crashes/Yr)]]-Table1B1_SafetyBackup[[#This Row],[Predicted Crash Reduction, Preferred Action Scenario (Crashes/Yr)]]</calculatedColumnFormula>
    </tableColumn>
    <tableColumn id="6" xr3:uid="{7AC4A8AA-5834-4C82-8369-D7671111AECA}" name="Predicted Crash Reduction, Preferred Action Scenario (Crashes/Yr)" totalsRowFunction="sum" dataDxfId="671" totalsRowDxfId="670" dataCellStyle="Comma"/>
    <tableColumn id="7" xr3:uid="{E006CF89-574B-4D1C-8BB5-E76F5F9AE219}" name="Realized Safety Benefit ($/Year)" totalsRowFunction="sum" dataDxfId="669" totalsRowDxfId="668" dataCellStyle="Currency">
      <calculatedColumnFormula>IF(Table1B1_SafetyBackup[[#This Row],[Year]]&lt;=Closeout,0,IF(Table1B1_SafetyBackup[[#This Row],[Year]]&lt;=Last_Year,Table1B1_SafetyBackup[[#This Row],[Predicted Crash Reduction, Preferred Action Scenario (Crashes/Yr)]],0))</calculatedColumnFormula>
    </tableColumn>
  </tableColumns>
  <tableStyleInfo name="TableStyleLight1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63A7F75A-7D5F-42A6-9A6C-F13F773B3493}" name="Table2.1_EmRed" displayName="Table2.1_EmRed" ref="B16:I24" totalsRowCount="1" headerRowDxfId="667" dataDxfId="666" dataCellStyle="Comma">
  <autoFilter ref="B16:I23" xr:uid="{63A7F75A-7D5F-42A6-9A6C-F13F773B3493}"/>
  <tableColumns count="8">
    <tableColumn id="1" xr3:uid="{A491FEE2-FDB6-4ECB-8788-5F107B85CF58}" name="Year" totalsRowLabel="Average" dataDxfId="665" totalsRowDxfId="664"/>
    <tableColumn id="2" xr3:uid="{FC4B9436-FE0A-4564-858D-81CE5E4DA34C}" name="NOX" totalsRowFunction="custom" dataDxfId="663" totalsRowDxfId="662" dataCellStyle="Comma">
      <calculatedColumnFormula array="1">IFERROR(INDEX(Table2B.3_AQ_Dif[[#Headers],[#Data],[Year]:[VOC]],MATCH(Table2.1_EmRed[[#This Row],[Year]:[Year]],Table2B.3_AQ_Dif[[#Headers],[#Data],[Year]:[Year]],0),MATCH(Table2.1_EmRed[[#Headers],[NOX]],Table2B.3_AQ_Dif[[#Headers],[Year]:[VOC]],0)),"")</calculatedColumnFormula>
      <totalsRowFormula>AVERAGE('2B. Emissions Backup'!C104:C134)</totalsRowFormula>
    </tableColumn>
    <tableColumn id="3" xr3:uid="{ED828E75-5275-4147-852E-55276AFCA6CE}" name="SOx" totalsRowFunction="custom" dataDxfId="661" totalsRowDxfId="660" dataCellStyle="Comma">
      <calculatedColumnFormula array="1">IFERROR(INDEX(Table2B.3_AQ_Dif[[#Headers],[#Data],[Year]:[VOC]],MATCH(Table2.1_EmRed[[#This Row],[Year]:[Year]],Table2B.3_AQ_Dif[[#Headers],[#Data],[Year]:[Year]],0),MATCH(Table2.1_EmRed[[#Headers],[SOx]],Table2B.3_AQ_Dif[[#Headers],[Year]:[VOC]],0)),"")</calculatedColumnFormula>
      <totalsRowFormula>AVERAGE('2B. Emissions Backup'!D104:D134)</totalsRowFormula>
    </tableColumn>
    <tableColumn id="4" xr3:uid="{CBCEC4E6-93AE-48AE-8CC6-5FCCCD8818F5}" name="PM2.5" totalsRowFunction="custom" dataDxfId="659" totalsRowDxfId="658" dataCellStyle="Comma">
      <calculatedColumnFormula array="1">IFERROR(INDEX(Table2B.3_AQ_Dif[[#Headers],[#Data],[Year]:[VOC]],MATCH(Table2.1_EmRed[[#This Row],[Year]:[Year]],Table2B.3_AQ_Dif[[#Headers],[#Data],[Year]:[Year]],0),MATCH(Table2.1_EmRed[[#Headers],[PM2.5]],Table2B.3_AQ_Dif[[#Headers],[Year]:[VOC]],0)),"")</calculatedColumnFormula>
      <totalsRowFormula>AVERAGE('2B. Emissions Backup'!E104:E134)</totalsRowFormula>
    </tableColumn>
    <tableColumn id="5" xr3:uid="{06A1A42E-307E-49B7-82C7-D8C78D611517}" name="CO2" totalsRowFunction="custom" dataDxfId="657" totalsRowDxfId="656" dataCellStyle="Comma">
      <calculatedColumnFormula array="1">IFERROR(INDEX(Table2B.3_AQ_Dif[[#Headers],[#Data],[Year]:[VOC]],MATCH(Table2.1_EmRed[[#This Row],[Year]:[Year]],Table2B.3_AQ_Dif[[#Headers],[#Data],[Year]:[Year]],0),MATCH(Table2.1_EmRed[[#Headers],[CO2]],Table2B.3_AQ_Dif[[#Headers],[Year]:[VOC]],0)),"")</calculatedColumnFormula>
      <totalsRowFormula>AVERAGE('2B. Emissions Backup'!F104:F134)</totalsRowFormula>
    </tableColumn>
    <tableColumn id="6" xr3:uid="{281829E1-4CD5-4906-BCA8-39772DA7AD85}" name="PM10" totalsRowFunction="custom" dataDxfId="655" totalsRowDxfId="654" dataCellStyle="Comma">
      <calculatedColumnFormula array="1">IFERROR(INDEX(Table2B.3_AQ_Dif[[#Headers],[#Data],[Year]:[VOC]],MATCH(Table2.1_EmRed[[#This Row],[Year]:[Year]],Table2B.3_AQ_Dif[[#Headers],[#Data],[Year]:[Year]],0),MATCH(Table2.1_EmRed[[#Headers],[PM10]],Table2B.3_AQ_Dif[[#Headers],[Year]:[VOC]],0)),"")</calculatedColumnFormula>
      <totalsRowFormula>AVERAGE('2B. Emissions Backup'!G104:G134)</totalsRowFormula>
    </tableColumn>
    <tableColumn id="7" xr3:uid="{33971382-6CA9-4983-B82E-DBADA61CB694}" name="VOC" totalsRowFunction="custom" dataDxfId="653" totalsRowDxfId="652" dataCellStyle="Comma">
      <calculatedColumnFormula array="1">IFERROR(INDEX(Table2B.3_AQ_Dif[[#Headers],[#Data],[Year]:[VOC]],MATCH(Table2.1_EmRed[[#This Row],[Year]:[Year]],Table2B.3_AQ_Dif[[#Headers],[#Data],[Year]:[Year]],0),MATCH(Table2.1_EmRed[[#Headers],[VOC]],Table2B.3_AQ_Dif[[#Headers],[Year]:[VOC]],0)),"")</calculatedColumnFormula>
      <totalsRowFormula>AVERAGE('2B. Emissions Backup'!H104:H134)</totalsRowFormula>
    </tableColumn>
    <tableColumn id="8" xr3:uid="{9AF9D256-0711-4B66-AAD7-E220FF65DA00}" name="Total" totalsRowFunction="custom" dataDxfId="651" totalsRowDxfId="650" dataCellStyle="Comma">
      <calculatedColumnFormula>SUM(Table2.1_EmRed[[#This Row],[NOX]:[VOC]])</calculatedColumnFormula>
      <totalsRowFormula>AVERAGEIFS(Table2B.3_AQ_Dif[Total],Table2B.3_AQ_Dif[Total],"&lt;&gt;0")</totalsRowFormula>
    </tableColumn>
  </tableColumns>
  <tableStyleInfo name="TableStyleLight9"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E6775E9C-1977-457E-A9F4-FF0CEA3FBEB3}" name="Table2.2_EmMoney" displayName="Table2.2_EmMoney" ref="B28:I36" totalsRowCount="1" headerRowDxfId="649" dataDxfId="648" dataCellStyle="Comma">
  <autoFilter ref="B28:I35" xr:uid="{E6775E9C-1977-457E-A9F4-FF0CEA3FBEB3}"/>
  <tableColumns count="8">
    <tableColumn id="1" xr3:uid="{9FCAC26E-53FA-403E-A8CC-0385E9FA6A5B}" name="Year" totalsRowLabel="Average" dataDxfId="647" totalsRowDxfId="646"/>
    <tableColumn id="2" xr3:uid="{313DF34B-6786-4C30-A9D8-84D5B3419C64}" name="NOX" totalsRowFunction="custom" dataDxfId="645" totalsRowDxfId="644" dataCellStyle="Currency">
      <calculatedColumnFormula array="1">IFERROR(INDEX(Table2B.4_AQ_Dollars[[#Headers],[#Data],[Year]:[VOC]],MATCH(Table2.2_EmMoney[[#This Row],[Year]:[Year]],Table2B.4_AQ_Dollars[[#Headers],[#Data],[Year]:[Year]],0),MATCH(Table2.2_EmMoney[[#Headers],[NOX]],Table2B.4_AQ_Dollars[[#Headers],[Year]:[VOC]],0)),"")</calculatedColumnFormula>
      <totalsRowFormula>AVERAGE('2B. Emissions Backup'!C146:C175)</totalsRowFormula>
    </tableColumn>
    <tableColumn id="3" xr3:uid="{3273030C-6CA9-4F0F-81AE-04D0D4DE0C46}" name="SOx" totalsRowFunction="custom" dataDxfId="643" totalsRowDxfId="642" dataCellStyle="Currency">
      <calculatedColumnFormula array="1">IFERROR(INDEX(Table2B.4_AQ_Dollars[[#Headers],[#Data],[Year]:[VOC]],MATCH(Table2.2_EmMoney[[#This Row],[Year]:[Year]],Table2B.4_AQ_Dollars[[#Headers],[#Data],[Year]:[Year]],0),MATCH(Table2.2_EmMoney[[#Headers],[SOx]],Table2B.4_AQ_Dollars[[#Headers],[Year]:[VOC]],0)),"")</calculatedColumnFormula>
      <totalsRowFormula>AVERAGE('2B. Emissions Backup'!D146:D175)</totalsRowFormula>
    </tableColumn>
    <tableColumn id="4" xr3:uid="{F7001146-B7AC-4E40-9ABE-5A722CCC489D}" name="PM2.5" totalsRowFunction="custom" dataDxfId="641" totalsRowDxfId="640" dataCellStyle="Currency">
      <calculatedColumnFormula array="1">IFERROR(INDEX(Table2B.4_AQ_Dollars[[#Headers],[#Data],[Year]:[VOC]],MATCH(Table2.2_EmMoney[[#This Row],[Year]:[Year]],Table2B.4_AQ_Dollars[[#Headers],[#Data],[Year]:[Year]],0),MATCH(Table2.2_EmMoney[[#Headers],[PM2.5]],Table2B.4_AQ_Dollars[[#Headers],[Year]:[VOC]],0)),"")</calculatedColumnFormula>
      <totalsRowFormula>AVERAGE('2B. Emissions Backup'!E146:E175)</totalsRowFormula>
    </tableColumn>
    <tableColumn id="5" xr3:uid="{E63B1060-E0B0-4456-BBE0-E81FF7FCCE44}" name="CO2" totalsRowFunction="custom" dataDxfId="639" totalsRowDxfId="638" dataCellStyle="Currency">
      <calculatedColumnFormula array="1">IFERROR(INDEX(Table2B.4_AQ_Dollars[[#Headers],[#Data],[Year]:[VOC]],MATCH(Table2.2_EmMoney[[#This Row],[Year]:[Year]],Table2B.4_AQ_Dollars[[#Headers],[#Data],[Year]:[Year]],0),MATCH(Table2.2_EmMoney[[#Headers],[CO2]],Table2B.4_AQ_Dollars[[#Headers],[Year]:[VOC]],0)),"")</calculatedColumnFormula>
      <totalsRowFormula>AVERAGE('2B. Emissions Backup'!F146:F175)</totalsRowFormula>
    </tableColumn>
    <tableColumn id="6" xr3:uid="{286ABB5A-D5B5-45CF-ACDB-9DB366B4C4D7}" name="PM10" totalsRowFunction="custom" dataDxfId="637" totalsRowDxfId="636" dataCellStyle="Currency">
      <calculatedColumnFormula array="1">IFERROR(INDEX(Table2B.4_AQ_Dollars[[#Headers],[#Data],[Year]:[VOC]],MATCH(Table2.2_EmMoney[[#This Row],[Year]:[Year]],Table2B.4_AQ_Dollars[[#Headers],[#Data],[Year]:[Year]],0),MATCH(Table2.2_EmMoney[[#Headers],[PM10]],Table2B.4_AQ_Dollars[[#Headers],[Year]:[VOC]],0)),"")</calculatedColumnFormula>
      <totalsRowFormula>AVERAGE('2B. Emissions Backup'!G146:G175)</totalsRowFormula>
    </tableColumn>
    <tableColumn id="7" xr3:uid="{8F07162F-90B4-4B00-967B-E4911BC5A188}" name="VOC" totalsRowFunction="custom" dataDxfId="635" totalsRowDxfId="634" dataCellStyle="Currency">
      <calculatedColumnFormula array="1">IFERROR(INDEX(Table2B.4_AQ_Dollars[[#Headers],[#Data],[Year]:[VOC]],MATCH(Table2.2_EmMoney[[#This Row],[Year]:[Year]],Table2B.4_AQ_Dollars[[#Headers],[#Data],[Year]:[Year]],0),MATCH(Table2.2_EmMoney[[#Headers],[VOC]],Table2B.4_AQ_Dollars[[#Headers],[Year]:[VOC]],0)),"")</calculatedColumnFormula>
      <totalsRowFormula>AVERAGE('2B. Emissions Backup'!H146:H175)</totalsRowFormula>
    </tableColumn>
    <tableColumn id="8" xr3:uid="{1069B370-CB97-4171-A333-4647396DC2CF}" name="Total" totalsRowFunction="custom" dataDxfId="633" totalsRowDxfId="632" dataCellStyle="Currency">
      <calculatedColumnFormula>SUM(Table2.2_EmMoney[[#This Row],[NOX]:[VOC]])</calculatedColumnFormula>
      <totalsRowFormula>AVERAGEIFS(Table2B.4_AQ_Dollars[Total],Table2B.4_AQ_Dollars[Total],"&lt;&gt;0")</totalsRowFormula>
    </tableColumn>
  </tableColumns>
  <tableStyleInfo name="TableStyleLight9"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46B9D436-ADAE-467E-A738-4816016E5439}" name="Table2.3_EmSummary" displayName="Table2.3_EmSummary" ref="B40:I41" totalsRowShown="0" headerRowDxfId="631" dataDxfId="630">
  <autoFilter ref="B40:I41" xr:uid="{46B9D436-ADAE-467E-A738-4816016E5439}"/>
  <tableColumns count="8">
    <tableColumn id="1" xr3:uid="{FAAD07C5-CC58-499F-B43A-0259818CCE1C}" name="Year" dataDxfId="629">
      <calculatedColumnFormula>CONCATENATE(VALUE(Closeout)," to ",VALUE(Last_Year))</calculatedColumnFormula>
    </tableColumn>
    <tableColumn id="2" xr3:uid="{24C3A57C-E4DD-41AC-AB5A-19AEB0B85702}" name="NOX" dataDxfId="628">
      <calculatedColumnFormula>Table2B.4_AQ_Dollars[[#Totals],[NOX]]</calculatedColumnFormula>
    </tableColumn>
    <tableColumn id="3" xr3:uid="{CAB67A3F-2890-45CA-96A2-278BD8B4FCA6}" name="SOx" dataDxfId="627">
      <calculatedColumnFormula>Table2B.4_AQ_Dollars[[#Totals],[SOx]]</calculatedColumnFormula>
    </tableColumn>
    <tableColumn id="4" xr3:uid="{5647D3FF-6047-4487-8E41-A2A5F05EC2BC}" name="PM2.5" dataDxfId="626">
      <calculatedColumnFormula>Table2B.4_AQ_Dollars[[#Totals],[PM2.5]]</calculatedColumnFormula>
    </tableColumn>
    <tableColumn id="5" xr3:uid="{13094567-EAA2-4F3B-BD6F-8B2330422FBF}" name="CO2" dataDxfId="625">
      <calculatedColumnFormula>Table2B.4_AQ_Dollars[[#Totals],[CO2]]</calculatedColumnFormula>
    </tableColumn>
    <tableColumn id="6" xr3:uid="{0B196485-97C0-4D1D-A8AA-90F972DF8845}" name="PM10" dataDxfId="624">
      <calculatedColumnFormula>Table2B.4_AQ_Dollars[[#Totals],[PM10]]</calculatedColumnFormula>
    </tableColumn>
    <tableColumn id="7" xr3:uid="{A31E8480-0CEE-4AEF-B518-30431C9B8324}" name="VOC" dataDxfId="623">
      <calculatedColumnFormula>Table2B.4_AQ_Dollars[[#Totals],[VOC]]</calculatedColumnFormula>
    </tableColumn>
    <tableColumn id="8" xr3:uid="{8B581D08-45B5-40D0-A0E7-EF32AE63B57E}" name="30-Year Total" dataDxfId="622">
      <calculatedColumnFormula>Table2B.4_AQ_Dollars[[#Totals],[Total]]</calculatedColumnFormula>
    </tableColumn>
  </tableColumns>
  <tableStyleInfo name="TableStyleLight14"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6BB16CE4-0EC2-4F86-B987-923927B1D170}" name="Table25" displayName="Table25" ref="B181:I218" totalsRowCount="1" headerRowDxfId="621" dataDxfId="620" totalsRowDxfId="619">
  <autoFilter ref="B181:I217" xr:uid="{6BB16CE4-0EC2-4F86-B987-923927B1D170}"/>
  <tableColumns count="8">
    <tableColumn id="1" xr3:uid="{59B9E705-A326-4131-B449-E40F13E59BF4}" name="Year" totalsRowLabel="Total" dataDxfId="618" totalsRowDxfId="617">
      <calculatedColumnFormula>First_Year+'Appendix B. Project Info'!B20</calculatedColumnFormula>
    </tableColumn>
    <tableColumn id="2" xr3:uid="{344BE135-1028-4CF5-99B7-5EE381741ADC}" name="NOX" totalsRowFunction="sum" dataDxfId="616" totalsRowDxfId="615"/>
    <tableColumn id="3" xr3:uid="{C5963C07-37E4-4560-AE4F-618FB70E0838}" name="SOx" totalsRowFunction="sum" dataDxfId="614" totalsRowDxfId="613"/>
    <tableColumn id="4" xr3:uid="{0ECE013E-5393-4166-ADE6-49036E85FE47}" name="PM2.5" totalsRowFunction="sum" dataDxfId="612" totalsRowDxfId="611"/>
    <tableColumn id="5" xr3:uid="{FB101E0E-C8C5-4F9F-810B-F6B2FFDB2973}" name="CO2" totalsRowFunction="sum" dataDxfId="610" totalsRowDxfId="609"/>
    <tableColumn id="6" xr3:uid="{DBAA31E5-0EE0-457B-9E24-C1E55CB63479}" name="PM10" totalsRowFunction="sum" dataDxfId="608" totalsRowDxfId="607"/>
    <tableColumn id="7" xr3:uid="{CA2AB2BE-9F21-42DF-8133-65C756B330EE}" name="VOC" totalsRowFunction="sum" dataDxfId="606" totalsRowDxfId="605"/>
    <tableColumn id="8" xr3:uid="{E6A28E2A-DABC-49B6-8D86-D05C01E6D85A}" name="Total" totalsRowFunction="sum" dataDxfId="604" totalsRowDxfId="603">
      <calculatedColumnFormula>IF(Table25[[#This Row],[Year]]&gt;Closeout,SUM(C182:H182),0)</calculatedColumnFormula>
    </tableColumn>
  </tableColumns>
  <tableStyleInfo name="TableStyleLight1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A70823B5-FC06-4676-8C7F-D8DFCBAC4205}" name="Table2B.2_AQ_PA" displayName="Table2B.2_AQ_PA" ref="B57:I94" totalsRowCount="1" headerRowDxfId="602" dataDxfId="601" totalsRowDxfId="600">
  <autoFilter ref="B57:I93" xr:uid="{A70823B5-FC06-4676-8C7F-D8DFCBAC4205}"/>
  <tableColumns count="8">
    <tableColumn id="1" xr3:uid="{3B318472-FAA1-49E6-B356-93258C473E43}" name="Year" totalsRowLabel="Total" dataDxfId="599" totalsRowDxfId="598">
      <calculatedColumnFormula>First_Year+'Appendix B. Project Info'!B20</calculatedColumnFormula>
    </tableColumn>
    <tableColumn id="2" xr3:uid="{1EF9DAAB-7025-41E8-946A-48472D305266}" name="NOX" totalsRowFunction="sum" dataDxfId="597" totalsRowDxfId="596"/>
    <tableColumn id="3" xr3:uid="{8628EBA2-775C-4E5C-8645-1BA542F72EB1}" name="SOx" totalsRowFunction="sum" dataDxfId="595" totalsRowDxfId="594"/>
    <tableColumn id="4" xr3:uid="{7DD6578C-4F74-4437-A0C5-710FC6DF82EE}" name="PM2.5" totalsRowFunction="sum" dataDxfId="593" totalsRowDxfId="592"/>
    <tableColumn id="5" xr3:uid="{9B74F73D-8E84-42FD-8981-FAFFF67DFC40}" name="CO2" totalsRowFunction="sum" dataDxfId="591" totalsRowDxfId="590"/>
    <tableColumn id="6" xr3:uid="{73BAEBE9-89A3-405A-AA4A-4B393765DE80}" name="PM10" totalsRowFunction="sum" dataDxfId="589" totalsRowDxfId="588"/>
    <tableColumn id="7" xr3:uid="{E3994BC0-7B83-4380-9AC8-84CF594EAA14}" name="VOC" totalsRowFunction="sum" dataDxfId="587" totalsRowDxfId="586"/>
    <tableColumn id="8" xr3:uid="{BB386F66-3474-44B6-A6BA-3DD5744527C8}" name="Total" totalsRowFunction="sum" totalsRowDxfId="585" dataCellStyle="Calculation">
      <calculatedColumnFormula>SUM(Table2B.2_AQ_PA[[#This Row],[NOX]:[VOC]])</calculatedColumnFormula>
    </tableColumn>
  </tableColumns>
  <tableStyleInfo name="TableStyleLight11"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18D49A1D-2EA2-40AE-B22D-49908A7D6FB8}" name="Table2B.1_AQ_NB" displayName="Table2B.1_AQ_NB" ref="B16:I53" totalsRowCount="1" headerRowDxfId="584" dataDxfId="583" totalsRowDxfId="582">
  <autoFilter ref="B16:I52" xr:uid="{18D49A1D-2EA2-40AE-B22D-49908A7D6FB8}"/>
  <tableColumns count="8">
    <tableColumn id="1" xr3:uid="{8926E6C4-D966-4E18-83B2-549C9B302A74}" name="Year" totalsRowLabel="Total" dataDxfId="581" totalsRowDxfId="580">
      <calculatedColumnFormula>First_Year+'Appendix B. Project Info'!B20</calculatedColumnFormula>
    </tableColumn>
    <tableColumn id="2" xr3:uid="{B90946D3-ACFA-4CDD-817B-4CF4D222FB37}" name="NOX" totalsRowFunction="sum" dataDxfId="579" totalsRowDxfId="578" dataCellStyle="Comma"/>
    <tableColumn id="3" xr3:uid="{71C44890-CF7C-4432-87A3-F548B0D46510}" name="SOx" totalsRowFunction="sum" dataDxfId="577" totalsRowDxfId="576" dataCellStyle="Comma"/>
    <tableColumn id="4" xr3:uid="{8B20FA7E-BC13-4AAA-BFE6-3DE0E92FFF9A}" name="PM2.5" totalsRowFunction="sum" dataDxfId="575" totalsRowDxfId="574" dataCellStyle="Comma"/>
    <tableColumn id="5" xr3:uid="{F9F25799-E3BA-4DFE-BDF5-385A3AEEB193}" name="CO2" totalsRowFunction="sum" dataDxfId="573" totalsRowDxfId="572" dataCellStyle="Comma"/>
    <tableColumn id="6" xr3:uid="{527F2776-A0D5-4140-8317-C654868B1F0C}" name="PM10" totalsRowFunction="sum" dataDxfId="571" totalsRowDxfId="570" dataCellStyle="Comma"/>
    <tableColumn id="7" xr3:uid="{4DF0AA08-736E-4491-BCA4-E7048C642A9E}" name="VOC" totalsRowFunction="sum" dataDxfId="569" totalsRowDxfId="568" dataCellStyle="Comma"/>
    <tableColumn id="8" xr3:uid="{1F6280B6-9FE8-4FA9-9E8F-05B5A1DFAF2D}" name="Total" totalsRowFunction="sum" dataDxfId="567" totalsRowDxfId="566" dataCellStyle="Calculation">
      <calculatedColumnFormula>SUM(Table2B.1_AQ_NB[[#This Row],[NOX]:[VOC]])</calculatedColumnFormula>
    </tableColumn>
  </tableColumns>
  <tableStyleInfo name="TableStyleLight11"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72B7882F-5521-464A-B35C-A3A2643E2E21}" name="Table2B.3_AQ_Dif" displayName="Table2B.3_AQ_Dif" ref="B98:I135" totalsRowCount="1" headerRowDxfId="565" dataDxfId="564" totalsRowDxfId="563">
  <autoFilter ref="B98:I134" xr:uid="{72B7882F-5521-464A-B35C-A3A2643E2E21}"/>
  <tableColumns count="8">
    <tableColumn id="1" xr3:uid="{DF851118-0B1D-47E0-8B89-ED344C5E3586}" name="Year" totalsRowLabel="Total" dataDxfId="562" totalsRowDxfId="561">
      <calculatedColumnFormula>First_Year+'Appendix B. Project Info'!B20</calculatedColumnFormula>
    </tableColumn>
    <tableColumn id="2" xr3:uid="{26945C89-36E3-44F3-BDB7-F29DF8348E95}" name="NOX" totalsRowFunction="sum" dataDxfId="560" totalsRowDxfId="559" dataCellStyle="Calculation">
      <calculatedColumnFormula>C17-C58</calculatedColumnFormula>
    </tableColumn>
    <tableColumn id="3" xr3:uid="{1DBFF7A1-AC8E-417E-A833-A7B8DD8CAFAC}" name="SOx" totalsRowFunction="sum" totalsRowDxfId="558" dataCellStyle="Calculation">
      <calculatedColumnFormula>D17-D58</calculatedColumnFormula>
    </tableColumn>
    <tableColumn id="4" xr3:uid="{83502C59-F972-4D02-9243-810FA51B1A78}" name="PM2.5" totalsRowFunction="sum" totalsRowDxfId="557" dataCellStyle="Calculation">
      <calculatedColumnFormula>E17-E58</calculatedColumnFormula>
    </tableColumn>
    <tableColumn id="5" xr3:uid="{D6291DD2-BE6A-4196-994E-A47B83A59188}" name="CO2" totalsRowFunction="sum" totalsRowDxfId="556" dataCellStyle="Calculation">
      <calculatedColumnFormula>F17-F58</calculatedColumnFormula>
    </tableColumn>
    <tableColumn id="6" xr3:uid="{91504AD3-C305-43A0-B339-44D75CCB6732}" name="PM10" totalsRowFunction="sum" totalsRowDxfId="555" dataCellStyle="Calculation">
      <calculatedColumnFormula>G17-G58</calculatedColumnFormula>
    </tableColumn>
    <tableColumn id="7" xr3:uid="{796685F2-D0A6-4455-BB3E-01EE2A7A14F2}" name="VOC" totalsRowFunction="sum" totalsRowDxfId="554" dataCellStyle="Calculation">
      <calculatedColumnFormula>H17-H58</calculatedColumnFormula>
    </tableColumn>
    <tableColumn id="8" xr3:uid="{9B275E7C-3063-4C72-B624-9D0DDDEF180B}" name="Total" totalsRowFunction="sum" totalsRowDxfId="553" dataCellStyle="Calculation">
      <calculatedColumnFormula>SUM(Table2B.3_AQ_Dif[[#This Row],[NOX]:[VOC]])</calculatedColumnFormula>
    </tableColumn>
  </tableColumns>
  <tableStyleInfo name="TableStyleLight1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3955F709-56FA-40E8-B83C-907371E1E767}" name="Table76" displayName="Table76" ref="B23:F60" totalsRowCount="1" headerRowDxfId="813">
  <autoFilter ref="B23:F59" xr:uid="{3955F709-56FA-40E8-B83C-907371E1E767}"/>
  <tableColumns count="5">
    <tableColumn id="1" xr3:uid="{5C1D3D9B-8342-4E36-AA3E-FB178427F5C2}" name="Year#" totalsRowLabel="Total"/>
    <tableColumn id="2" xr3:uid="{75C5EC40-BC50-4BB9-BD4A-AF36763BEF98}" name="Year"/>
    <tableColumn id="3" xr3:uid="{5401BBC8-5300-442A-A1D1-8ADD310E5FFB}" name="Present Value (PV) Project Benefits" totalsRowFunction="sum" totalsRowDxfId="812"/>
    <tableColumn id="4" xr3:uid="{C14BB4A8-A8C0-40CB-B8D0-27707F03AA04}" name="Project Benefits at 7% Discount Rate*" totalsRowFunction="sum" totalsRowDxfId="811"/>
    <tableColumn id="5" xr3:uid="{91201BEB-297A-4CBA-B876-C2E86D85B107}" name="Project Benefits at 3% Discount Rate" totalsRowFunction="sum" totalsRowDxfId="810"/>
  </tableColumns>
  <tableStyleInfo name="TableStyleLight13"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1B8DEB15-FC85-47CF-BEDE-A9A5C438C4DB}" name="Table2B.4_AQ_Dollars" displayName="Table2B.4_AQ_Dollars" ref="B139:I176" totalsRowCount="1" headerRowDxfId="552" dataDxfId="551" totalsRowDxfId="550">
  <autoFilter ref="B139:I175" xr:uid="{1B8DEB15-FC85-47CF-BEDE-A9A5C438C4DB}"/>
  <tableColumns count="8">
    <tableColumn id="1" xr3:uid="{4B465C7C-E830-4168-A9C4-08BAF08C7E2A}" name="Year" totalsRowLabel="Total" dataDxfId="549" totalsRowDxfId="548">
      <calculatedColumnFormula>First_Year+'Appendix B. Project Info'!B20</calculatedColumnFormula>
    </tableColumn>
    <tableColumn id="2" xr3:uid="{008F64F0-5AD4-484B-84A9-95D66CE3339E}" name="NOX" totalsRowFunction="sum" dataDxfId="547" totalsRowDxfId="546" dataCellStyle="Currency" totalsRowCellStyle="Currency">
      <calculatedColumnFormula>IFERROR(IF(Table2B.4_AQ_Dollars[[#This Row],[Year]]&gt;Closeout,(C99*INDEX(TableA6_Emissions[#All],MATCH(Table2B.4_AQ_Dollars[[#This Row],[Year]],TableA6_Emissions[Year],0),MATCH(Table2B.4_AQ_Dollars[[#Headers],[NOX]],TableA6_Emissions[#Headers],0))),0),0)</calculatedColumnFormula>
    </tableColumn>
    <tableColumn id="3" xr3:uid="{A3CD80C9-78F0-44A1-A737-18CADB6C2232}" name="SOx" totalsRowFunction="sum" dataDxfId="545" totalsRowDxfId="544" dataCellStyle="Currency" totalsRowCellStyle="Currency">
      <calculatedColumnFormula>IFERROR(IF(Table2B.4_AQ_Dollars[[#This Row],[Year]]&gt;Closeout,(D99*INDEX(TableA6_Emissions[#All],MATCH(Table2B.4_AQ_Dollars[[#This Row],[Year]],TableA6_Emissions[Year],0),MATCH(Table2B.4_AQ_Dollars[[#Headers],[SOx]],TableA6_Emissions[#Headers],0))),0),0)</calculatedColumnFormula>
    </tableColumn>
    <tableColumn id="4" xr3:uid="{94E2AEEC-11C9-44E0-A73F-2668D5DB0E67}" name="PM2.5" totalsRowFunction="sum" dataDxfId="543" totalsRowDxfId="542" dataCellStyle="Currency" totalsRowCellStyle="Currency">
      <calculatedColumnFormula>IFERROR(IF(Table2B.4_AQ_Dollars[[#This Row],[Year]]&gt;Closeout,(E99*INDEX(TableA6_Emissions[#All],MATCH(Table2B.4_AQ_Dollars[[#This Row],[Year]],TableA6_Emissions[Year],0),MATCH(Table2B.4_AQ_Dollars[[#Headers],[PM2.5]],TableA6_Emissions[#Headers],0))),0),0)</calculatedColumnFormula>
    </tableColumn>
    <tableColumn id="5" xr3:uid="{2D36AA1D-B7BE-4E2E-8AAE-5F8E2BC97480}" name="CO2" totalsRowFunction="sum" dataDxfId="541" totalsRowDxfId="540" dataCellStyle="Currency" totalsRowCellStyle="Currency">
      <calculatedColumnFormula>IFERROR(IF(Table2B.4_AQ_Dollars[[#This Row],[Year]]&gt;Closeout,F99*INDEX(TableA6_Emissions[#All],MATCH(Table2B.4_AQ_Dollars[[#This Row],[Year]],TableA6_Emissions[Year],0),MATCH(Table2B.4_AQ_Dollars[[#Headers],[CO2]],TableA6_Emissions[#Headers],0)),0),0)</calculatedColumnFormula>
    </tableColumn>
    <tableColumn id="6" xr3:uid="{30F5ED89-B766-4322-8BE9-2CB887E29EFD}" name="PM10" totalsRowFunction="sum" dataDxfId="539" totalsRowDxfId="538" dataCellStyle="Currency" totalsRowCellStyle="Currency">
      <calculatedColumnFormula>IFERROR(G99*INDEX(TableA6_Emissions[#All],MATCH(Table2B.4_AQ_Dollars[[#This Row],[Year]],TableA6_Emissions[Year],0),MATCH(Table2B.4_AQ_Dollars[[#Headers],[PM10]],TableA6_Emissions[#Headers],0)),0)</calculatedColumnFormula>
    </tableColumn>
    <tableColumn id="7" xr3:uid="{70F97AA7-F6E9-499C-88B8-1CFA8BD0D585}" name="VOC" totalsRowFunction="sum" dataDxfId="537" totalsRowDxfId="536" dataCellStyle="Currency" totalsRowCellStyle="Currency">
      <calculatedColumnFormula>IFERROR(H99*INDEX(TableA6_Emissions[#All],MATCH(Table2B.4_AQ_Dollars[[#This Row],[Year]],TableA6_Emissions[Year],0),MATCH(Table2B.4_AQ_Dollars[[#Headers],[VOC]],TableA6_Emissions[#Headers],0)),0)</calculatedColumnFormula>
    </tableColumn>
    <tableColumn id="8" xr3:uid="{407F6626-CD3C-4C5E-BDCD-9B79B1AF622F}" name="Total" totalsRowFunction="sum" totalsRowDxfId="535" dataCellStyle="Currency" totalsRowCellStyle="Currency">
      <calculatedColumnFormula>SUM(Table2B.4_AQ_Dollars[[#This Row],[NOX]:[VOC]])</calculatedColumnFormula>
    </tableColumn>
  </tableColumns>
  <tableStyleInfo name="TableStyleLight11"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6897DCA-AE3A-4A9C-96AC-23AFB93E1B1B}" name="Table3.1_TTS_Sum_Open" displayName="Table3.1_TTS_Sum_Open" ref="B14:I16" headerRowDxfId="534" dataDxfId="533">
  <autoFilter ref="B14:I16" xr:uid="{06897DCA-AE3A-4A9C-96AC-23AFB93E1B1B}"/>
  <tableColumns count="8">
    <tableColumn id="1" xr3:uid="{95056CB6-7262-486C-AC5E-FA035CA58B9F}" name="Scenario" totalsRowLabel="Average" dataDxfId="532" totalsRowDxfId="531"/>
    <tableColumn id="2" xr3:uid="{8D6368B8-3608-4B20-BC81-C5B071613FCB}" name="Total Traffic in Network (Veh/Day)" dataDxfId="530" totalsRowDxfId="529" dataCellStyle="Comma"/>
    <tableColumn id="3" xr3:uid="{0230FFD9-39ED-4E79-B178-52C3AE48ECE5}" name="Vehicle Miles Traveled (VMT/Day)" dataDxfId="528" totalsRowDxfId="527" dataCellStyle="Comma"/>
    <tableColumn id="4" xr3:uid="{61154788-6B2E-46E0-BE6D-B859C9B550C7}" name="Vehicle Hours Traveled (VHT/Day)" dataDxfId="526" totalsRowDxfId="525" dataCellStyle="Comma"/>
    <tableColumn id="5" xr3:uid="{FEDA7276-DABE-4DC0-BA19-3BE523EF702E}" name="Average Speed (MPH)" dataDxfId="524" totalsRowDxfId="523" dataCellStyle="Comma"/>
    <tableColumn id="7" xr3:uid="{FD87AC61-C663-42C3-97A1-5FC6A3106324}" name="Average Delay (Hrs/Veh/Day)" dataDxfId="522" totalsRowDxfId="521" dataCellStyle="Comma"/>
    <tableColumn id="8" xr3:uid="{BC2B08FF-3F44-4BC2-9B6B-601C42ED49FD}" name="Travel Time Savings Benefit ($/Day)" totalsRowFunction="average" dataDxfId="520" totalsRowDxfId="519" dataCellStyle="Currency"/>
    <tableColumn id="6" xr3:uid="{494A987C-AE3A-4465-9586-8B60CD8D97E6}" name="Annual Benefit ($/Year)" dataDxfId="518" totalsRowDxfId="517" dataCellStyle="Comma">
      <calculatedColumnFormula>Table3.1_TTS_Sum_Open[[#This Row],[Travel Time Savings Benefit ($/Day)]]*365</calculatedColumnFormula>
    </tableColumn>
  </tableColumns>
  <tableStyleInfo name="TableStyleLight9"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E399932F-1254-4EA6-AA57-FA15B8846BAE}" name="Table3.3_TTS_Rates" displayName="Table3.3_TTS_Rates" ref="B26:I28" totalsRowShown="0" headerRowDxfId="516" dataDxfId="515" dataCellStyle="Comma">
  <autoFilter ref="B26:I28" xr:uid="{E399932F-1254-4EA6-AA57-FA15B8846BAE}"/>
  <tableColumns count="8">
    <tableColumn id="1" xr3:uid="{B1ED4469-22F4-4D2F-8CD9-BA88766702F7}" name="Scenario" dataDxfId="514"/>
    <tableColumn id="2" xr3:uid="{18C4C43A-1E96-47D6-9913-764C004BF4D6}" name="Total Traffic in Network (Veh/Day)" dataDxfId="513" dataCellStyle="Comma">
      <calculatedColumnFormula>(C21-C15)/30</calculatedColumnFormula>
    </tableColumn>
    <tableColumn id="3" xr3:uid="{E50F71BA-247D-4F0F-8AE6-F44D8D6D11C4}" name="Vehicle Miles Traveled (VMT/Day)" dataDxfId="512" dataCellStyle="Comma">
      <calculatedColumnFormula>(D21-D15)/30</calculatedColumnFormula>
    </tableColumn>
    <tableColumn id="4" xr3:uid="{DA3078A9-0015-4071-A126-FB699F0F4322}" name="Vehicle Hours Traveled (VHT/Day)" dataDxfId="511" dataCellStyle="Comma">
      <calculatedColumnFormula>(E21-E15)/30</calculatedColumnFormula>
    </tableColumn>
    <tableColumn id="5" xr3:uid="{60D41092-F51C-4470-A9B2-5C18E090F043}" name="Average Speed (MPH)" dataDxfId="510" dataCellStyle="Comma">
      <calculatedColumnFormula>(F21-F15)/30</calculatedColumnFormula>
    </tableColumn>
    <tableColumn id="6" xr3:uid="{C1BA5FC6-8504-4276-8D10-FE8B1F9408C1}" name="Average Delay (Hrs/Veh/Day)" dataDxfId="509" dataCellStyle="Comma">
      <calculatedColumnFormula>(G21-G15)/25</calculatedColumnFormula>
    </tableColumn>
    <tableColumn id="7" xr3:uid="{97D62E57-9EC5-4211-892F-2A752EF9A0EB}" name="Travel Time Savings Benefit ($/Day)" dataDxfId="508" dataCellStyle="Currency">
      <calculatedColumnFormula>(H21-H15)/25</calculatedColumnFormula>
    </tableColumn>
    <tableColumn id="8" xr3:uid="{BE92DECD-ADAA-4920-8279-F2D54EBB0567}" name="Annual Benefit ($/Year)" dataDxfId="507" dataCellStyle="Comma">
      <calculatedColumnFormula>Table3.3_TTS_Rates[[#This Row],[Travel Time Savings Benefit ($/Day)]]*365</calculatedColumnFormula>
    </tableColumn>
  </tableColumns>
  <tableStyleInfo name="TableStyleLight9"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45FBF7C7-A927-4188-8E35-2B07F67FB051}" name="Table3.2_TTS_Sum_Des" displayName="Table3.2_TTS_Sum_Des" ref="B20:I22" headerRowDxfId="506" dataDxfId="505">
  <autoFilter ref="B20:I22" xr:uid="{45FBF7C7-A927-4188-8E35-2B07F67FB051}"/>
  <tableColumns count="8">
    <tableColumn id="1" xr3:uid="{7000D20B-29DA-4738-BBFF-85204837F546}" name="Scenario" totalsRowLabel="Average" dataDxfId="504" totalsRowDxfId="503"/>
    <tableColumn id="2" xr3:uid="{7799F28B-E1C6-46B0-855A-DF566DB607A8}" name="Total Traffic in Network (Veh/Day)" dataDxfId="502" totalsRowDxfId="501" dataCellStyle="Comma"/>
    <tableColumn id="3" xr3:uid="{4C8EAA8E-F987-42D1-99F7-4896A66FBAA5}" name="Vehicle Miles Traveled (VMT/Day)" dataDxfId="500" totalsRowDxfId="499" dataCellStyle="Comma"/>
    <tableColumn id="4" xr3:uid="{C72A5951-1E31-4BE3-8038-595D8918A602}" name="Vehicle Hours Traveled (VHT/Day)" dataDxfId="498" totalsRowDxfId="497" dataCellStyle="Comma"/>
    <tableColumn id="5" xr3:uid="{0BCE7362-F59B-428B-9B43-739700A650DE}" name="Average Speed (MPH)" dataDxfId="496" totalsRowDxfId="495" dataCellStyle="Comma"/>
    <tableColumn id="7" xr3:uid="{3C04AE9F-2C91-49FE-A82E-1A9169ED7C24}" name="Average Delay (Hrs/Veh/Day)" dataDxfId="494" totalsRowDxfId="493" dataCellStyle="Comma"/>
    <tableColumn id="8" xr3:uid="{F484DD78-3DF2-4BB5-B2B7-567F153CA696}" name="Travel Time Savings Benefit ($/Day)" totalsRowFunction="average" dataDxfId="492" totalsRowDxfId="491" dataCellStyle="Currency"/>
    <tableColumn id="6" xr3:uid="{B6E6D3DF-E1CF-48C0-BBD0-26EC45677200}" name="Annual Benefit ($/Year)" dataDxfId="490" totalsRowDxfId="489" dataCellStyle="Comma">
      <calculatedColumnFormula>Table3.2_TTS_Sum_Des[[#This Row],[Travel Time Savings Benefit ($/Day)]]*365</calculatedColumnFormula>
    </tableColumn>
  </tableColumns>
  <tableStyleInfo name="TableStyleLight9"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342805B7-3E4C-4366-A65A-AFE47D81F5A5}" name="Table53" displayName="Table53" ref="B32:I35" totalsRowCount="1" headerRowDxfId="488">
  <autoFilter ref="B32:I34" xr:uid="{342805B7-3E4C-4366-A65A-AFE47D81F5A5}"/>
  <tableColumns count="8">
    <tableColumn id="1" xr3:uid="{33BB5EBE-171F-4827-8B63-452D3E0525D4}" name="Scenario" totalsRowLabel="Total" dataDxfId="487" totalsRowDxfId="486"/>
    <tableColumn id="2" xr3:uid="{9A2732F3-3234-4611-87FF-BCE5C23F01E5}" name="Total Traffic in Network _x000a_(Avg. Veh/Day)" totalsRowFunction="custom" totalsRowDxfId="485" dataCellStyle="Comma">
      <calculatedColumnFormula>Table3D.1_DailyTTS_NB[[#Totals],[Total Traffic in Network (Veh/Day)]]</calculatedColumnFormula>
      <totalsRowFormula>C34-C33</totalsRowFormula>
    </tableColumn>
    <tableColumn id="3" xr3:uid="{8744C1E8-3DAA-4617-A54B-958448367B60}" name="Vehicle Miles Traveled _x000a_(Avg. VMT/Day)" totalsRowFunction="custom" totalsRowDxfId="484" dataCellStyle="Comma">
      <totalsRowFormula>D34-D33</totalsRowFormula>
    </tableColumn>
    <tableColumn id="4" xr3:uid="{F8DDB739-2D07-406F-B86C-01EABBAE7D43}" name="Vehicle Hours Traveled _x000a_(Avg. VHT/Day)" totalsRowFunction="custom" dataDxfId="483" totalsRowDxfId="482" dataCellStyle="Comma">
      <totalsRowFormula>E34-E33</totalsRowFormula>
    </tableColumn>
    <tableColumn id="5" xr3:uid="{82239668-0A03-4666-BB6B-1147DC84C833}" name="Average Speed (MPH)" totalsRowFunction="custom" dataDxfId="481" totalsRowDxfId="480" dataCellStyle="Comma">
      <totalsRowFormula>F34-F33</totalsRowFormula>
    </tableColumn>
    <tableColumn id="6" xr3:uid="{942FE08C-529A-4AF2-8FB1-8F84E81CE4B7}" name="Total Delay_x000a_(Avg. Hours/Day)" totalsRowFunction="custom" totalsRowDxfId="479" dataCellStyle="Comma">
      <totalsRowFormula>G34-G33</totalsRowFormula>
    </tableColumn>
    <tableColumn id="7" xr3:uid="{3FE9105D-42BE-4AA6-9218-597ECBEE9FA8}" name="Travel Time Savings Benefit (Avg. $/Year)" totalsRowFunction="custom" totalsRowDxfId="478" totalsRowCellStyle="Currency">
      <totalsRowFormula>H34-H33</totalsRowFormula>
    </tableColumn>
    <tableColumn id="8" xr3:uid="{9966C156-F4C3-4B96-B631-0F8A1D65E1B3}" name="30-Year Total" totalsRowFunction="sum" dataDxfId="477" totalsRowDxfId="476">
      <calculatedColumnFormula>Table53[[#This Row],[Travel Time Savings Benefit (Avg. $/Year)]]*30</calculatedColumnFormula>
    </tableColumn>
  </tableColumns>
  <tableStyleInfo name="TableStyleLight14"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1B59B2E7-5521-4EE4-8731-9D9DEFD23321}" name="Table3B.1_22TTS" displayName="Table3B.1_22TTS" ref="B16:H32" totalsRowCount="1" headerRowDxfId="475" dataDxfId="474" totalsRowDxfId="473" dataCellStyle="Input">
  <autoFilter ref="B16:H31" xr:uid="{1B59B2E7-5521-4EE4-8731-9D9DEFD23321}"/>
  <tableColumns count="7">
    <tableColumn id="1" xr3:uid="{AB88AD3C-A577-4101-9D69-6DE871BB41C7}" name="Time" totalsRowLabel="Total" dataDxfId="472" totalsRowDxfId="471"/>
    <tableColumn id="2" xr3:uid="{B83AD045-BE05-4E2A-A30C-E25C76794099}" name="Total Vehicles in Network" totalsRowFunction="sum" dataDxfId="470" totalsRowDxfId="469" dataCellStyle="Input"/>
    <tableColumn id="3" xr3:uid="{E31F5DF8-8014-42A8-85CC-522A21F20AE8}" name="VMT: Total Path Distance (mi)" totalsRowFunction="sum" dataDxfId="468" totalsRowDxfId="467" dataCellStyle="Input"/>
    <tableColumn id="4" xr3:uid="{920ABCA1-821E-413E-9E78-29B00813DC18}" name="VHT: Total Time in Network (hr)" totalsRowFunction="sum" dataDxfId="466" totalsRowDxfId="465" dataCellStyle="Input"/>
    <tableColumn id="5" xr3:uid="{96BEBAE4-75EE-4107-A658-F9AE72B97DC0}" name="Average Speed (mph)" totalsRowFunction="average" dataDxfId="464" totalsRowDxfId="463" dataCellStyle="Input"/>
    <tableColumn id="6" xr3:uid="{3AC99727-4EAA-4EA7-A451-1AA4A1B086E6}" name="Total Delay (hr)" totalsRowFunction="sum" dataDxfId="462" totalsRowDxfId="461" dataCellStyle="Input"/>
    <tableColumn id="7" xr3:uid="{E5090C31-50DD-4A13-BB56-372D868B59E0}" name="Average Delay (hr/veh)" totalsRowFunction="average" dataDxfId="460" totalsRowDxfId="459" dataCellStyle="Input">
      <calculatedColumnFormula>Table3B.1_22TTS[[#This Row],[Total Delay (hr)]]/Table3B.1_22TTS[[#This Row],[Total Vehicles in Network]]</calculatedColumnFormula>
    </tableColumn>
  </tableColumns>
  <tableStyleInfo name="TableStyleLight11"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A41960AA-9A63-4180-8358-446E2497D0EF}" name="Table3B.2_22Delay" displayName="Table3B.2_22Delay" ref="B36:H52" totalsRowCount="1" headerRowDxfId="458" dataDxfId="457">
  <autoFilter ref="B36:H51" xr:uid="{A41960AA-9A63-4180-8358-446E2497D0EF}"/>
  <tableColumns count="7">
    <tableColumn id="1" xr3:uid="{D1423D2B-5041-4D18-94E7-DD3F11B396C7}" name="Time" totalsRowLabel="Total" dataDxfId="456" totalsRowDxfId="455"/>
    <tableColumn id="2" xr3:uid="{5EBF0EF7-AC74-405C-AA53-EF4030A56E0A}" name="Car Traffic Share" totalsRowFunction="average" dataDxfId="454" totalsRowDxfId="453" dataCellStyle="Input"/>
    <tableColumn id="3" xr3:uid="{9D0D82E6-445D-47A4-87E4-9D48642A45DE}" name="Truck Traffic Share" totalsRowFunction="average" dataDxfId="452" totalsRowDxfId="451" dataCellStyle="Input"/>
    <tableColumn id="4" xr3:uid="{FB2F2882-BAC6-4453-BE78-2B7960DEA80A}" name="Car Traffic" totalsRowFunction="sum" dataDxfId="450" totalsRowDxfId="449" dataCellStyle="Comma">
      <calculatedColumnFormula>C17*Table3B.2_22Delay[[#This Row],[Car Traffic Share]]</calculatedColumnFormula>
    </tableColumn>
    <tableColumn id="5" xr3:uid="{E9E65829-68D0-4F6B-88AB-E6680BAAC2C9}" name="Car Delay _x000a_(hrs)" totalsRowFunction="sum" dataDxfId="448" totalsRowDxfId="447" dataCellStyle="Calculation">
      <calculatedColumnFormula>H17*Table3B.2_22Delay[[#This Row],[Car Traffic]]</calculatedColumnFormula>
    </tableColumn>
    <tableColumn id="6" xr3:uid="{503F4C88-DD09-4C3C-9CFE-0CCA9E9E66C7}" name="Truck Traffic" totalsRowFunction="sum" dataDxfId="446" totalsRowDxfId="445" dataCellStyle="Calculation">
      <calculatedColumnFormula>C17*Table3B.2_22Delay[[#This Row],[Truck Traffic Share]]</calculatedColumnFormula>
    </tableColumn>
    <tableColumn id="7" xr3:uid="{C57EACF9-8DF7-491C-904A-ECED7A61C766}" name="Truck Delay (hrs)" totalsRowFunction="sum" dataDxfId="444" totalsRowDxfId="443" dataCellStyle="Calculation">
      <calculatedColumnFormula>H17*Table3B.2_22Delay[[#This Row],[Truck Traffic]]</calculatedColumnFormula>
    </tableColumn>
  </tableColumns>
  <tableStyleInfo name="TableStyleLight11"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F3553AA8-B0B6-4436-B070-1926966DD78F}" name="Table3B.3_27TTS_NB" displayName="Table3B.3_27TTS_NB" ref="B56:H72" totalsRowCount="1" headerRowDxfId="442" dataDxfId="441" dataCellStyle="Input">
  <autoFilter ref="B56:H71" xr:uid="{F3553AA8-B0B6-4436-B070-1926966DD78F}"/>
  <tableColumns count="7">
    <tableColumn id="1" xr3:uid="{4038848D-FA79-4DEA-9348-53772DBDAD9A}" name="Time" totalsRowLabel="Total" dataDxfId="440" totalsRowDxfId="439"/>
    <tableColumn id="2" xr3:uid="{8AE6D803-CA9A-4847-AF20-7E8156AF48D1}" name="Total Vehicles in Network" totalsRowFunction="sum" dataDxfId="438" totalsRowDxfId="437" dataCellStyle="Input"/>
    <tableColumn id="3" xr3:uid="{0D23182E-F7FE-481F-B05F-85E756D09F4E}" name="VMT: Total Path Distance (mi)" totalsRowFunction="sum" dataDxfId="436" totalsRowDxfId="435" dataCellStyle="Input"/>
    <tableColumn id="4" xr3:uid="{8D21A9D4-2435-434D-A124-BE53AB4DEAB5}" name="VHT: Total Time in Network (hr)" totalsRowFunction="sum" dataDxfId="434" totalsRowDxfId="433" dataCellStyle="Input"/>
    <tableColumn id="5" xr3:uid="{EF763F62-FFC1-41C4-B72D-6EE730A25F55}" name="Average Speed (mph)" totalsRowFunction="average" dataDxfId="432" totalsRowDxfId="431" dataCellStyle="Input"/>
    <tableColumn id="6" xr3:uid="{CC966794-4EBC-4F2F-AFFB-6B4E484931E3}" name="Total Delay (hr)" totalsRowFunction="sum" dataDxfId="430" totalsRowDxfId="429" dataCellStyle="Input"/>
    <tableColumn id="7" xr3:uid="{2AA47ABC-9706-4AF1-8716-A77AE33590AA}" name="Average Delay (hr/veh)" totalsRowFunction="average" dataDxfId="428" totalsRowDxfId="427" dataCellStyle="Input">
      <calculatedColumnFormula>Table3B.3_27TTS_NB[[#This Row],[Total Delay (hr)]]/Table3B.3_27TTS_NB[[#This Row],[Total Vehicles in Network]]</calculatedColumnFormula>
    </tableColumn>
  </tableColumns>
  <tableStyleInfo name="TableStyleLight11"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C700F461-FD7E-4502-B1AD-801EF88ED65C}" name="Table3B.5_27TTS_PA" displayName="Table3B.5_27TTS_PA" ref="B96:H112" totalsRowCount="1" headerRowDxfId="426" dataDxfId="425" dataCellStyle="Input">
  <autoFilter ref="B96:H111" xr:uid="{C700F461-FD7E-4502-B1AD-801EF88ED65C}"/>
  <tableColumns count="7">
    <tableColumn id="1" xr3:uid="{D87AD3D8-FD86-4157-B784-E62ADC899C24}" name="Time" totalsRowLabel="Total" dataDxfId="424" totalsRowDxfId="423"/>
    <tableColumn id="2" xr3:uid="{395B25F7-F8CE-4DC8-86B2-0FA3B9FA8C21}" name="Total Vehicles Traveling Within the Network" totalsRowFunction="sum" dataDxfId="422" totalsRowDxfId="421" dataCellStyle="Input"/>
    <tableColumn id="3" xr3:uid="{DEBAD64C-1ADA-4726-920C-B3EA7E9598DF}" name="VMT: Total Path Distance (mi)" totalsRowFunction="sum" dataDxfId="420" totalsRowDxfId="419" dataCellStyle="Input"/>
    <tableColumn id="4" xr3:uid="{55D7B833-B6EA-4CD5-9989-5EA77D966BB5}" name="VHT: Total Time Within the Network (hr)" totalsRowFunction="sum" dataDxfId="418" totalsRowDxfId="417" dataCellStyle="Input"/>
    <tableColumn id="5" xr3:uid="{56434A54-D5FD-43DB-8121-8906D3AD4F7C}" name="Average Speed (mph)" totalsRowFunction="average" dataDxfId="416" totalsRowDxfId="415" dataCellStyle="Input"/>
    <tableColumn id="6" xr3:uid="{D597E336-A159-489A-925C-FFD284A5E16C}" name="Total Delay: All Vehicles (hr)" totalsRowFunction="sum" dataDxfId="414" totalsRowDxfId="413" dataCellStyle="Input"/>
    <tableColumn id="7" xr3:uid="{CC60B383-3E95-4DDC-B616-D5B7B5BDB687}" name="Average Delay: Per Vehicle (hr/veh)" totalsRowFunction="average" dataDxfId="412" totalsRowDxfId="411" dataCellStyle="Input">
      <calculatedColumnFormula>Table3B.5_27TTS_PA[[#This Row],[Total Delay: All Vehicles (hr)]]/Table3B.5_27TTS_PA[[#This Row],[Total Vehicles Traveling Within the Network]]</calculatedColumnFormula>
    </tableColumn>
  </tableColumns>
  <tableStyleInfo name="TableStyleLight11"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1402CC7F-51AE-4B67-BF8E-E3A20CD43F22}" name="Table3B.4_27Delay_NB" displayName="Table3B.4_27Delay_NB" ref="B76:H92" totalsRowCount="1" headerRowDxfId="410" dataDxfId="409">
  <autoFilter ref="B76:H91" xr:uid="{1402CC7F-51AE-4B67-BF8E-E3A20CD43F22}"/>
  <tableColumns count="7">
    <tableColumn id="1" xr3:uid="{6DA3FB3E-FACE-4CFC-8242-72A73FED6020}" name="Time" totalsRowLabel="Total" dataDxfId="408" totalsRowDxfId="407"/>
    <tableColumn id="2" xr3:uid="{335058CF-579B-4A1F-992C-12E2B83274C4}" name="Car Traffic Share" dataDxfId="406" totalsRowDxfId="405" dataCellStyle="Input"/>
    <tableColumn id="3" xr3:uid="{5B706D5A-DD80-411B-A0F5-AE51096C8FD5}" name="Truck Traffic Share" dataDxfId="404" totalsRowDxfId="403" dataCellStyle="Input"/>
    <tableColumn id="4" xr3:uid="{62843F40-2EEF-45D2-A1E6-25137347BA73}" name="Car Traffic" totalsRowFunction="sum" dataDxfId="402" totalsRowDxfId="401" dataCellStyle="Comma">
      <calculatedColumnFormula>C57*Table3B.4_27Delay_NB[[#This Row],[Car Traffic Share]]</calculatedColumnFormula>
    </tableColumn>
    <tableColumn id="5" xr3:uid="{B6A71DA0-7A31-45BE-80F4-D8E2A71322C0}" name="Car Delay _x000a_(hrs)" totalsRowFunction="sum" dataDxfId="400" totalsRowDxfId="399" dataCellStyle="Calculation">
      <calculatedColumnFormula>H57*Table3B.4_27Delay_NB[[#This Row],[Car Traffic]]</calculatedColumnFormula>
    </tableColumn>
    <tableColumn id="6" xr3:uid="{86E48F82-B195-49B5-93BA-5D368CB5FC76}" name="Truck Traffic" totalsRowFunction="sum" dataDxfId="398" totalsRowDxfId="397" dataCellStyle="Calculation">
      <calculatedColumnFormula>C57*Table3B.4_27Delay_NB[[#This Row],[Truck Traffic Share]]</calculatedColumnFormula>
    </tableColumn>
    <tableColumn id="7" xr3:uid="{8C610DD7-29BB-4696-A118-2E7FF4066B7B}" name="Truck Delay (hrs)" totalsRowFunction="sum" dataDxfId="396" totalsRowDxfId="395" dataCellStyle="Calculation">
      <calculatedColumnFormula>H57*Table3B.4_27Delay_NB[[#This Row],[Truck Traffic]]</calculatedColumnFormula>
    </tableColumn>
  </tableColumns>
  <tableStyleInfo name="TableStyleLight1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F227AFC5-50F5-4A95-895A-7756F27BEC8A}" name="Table77" displayName="Table77" ref="H23:J60" totalsRowCount="1" headerRowDxfId="809" dataDxfId="808">
  <autoFilter ref="H23:J59" xr:uid="{F227AFC5-50F5-4A95-895A-7756F27BEC8A}"/>
  <tableColumns count="3">
    <tableColumn id="1" xr3:uid="{C95CE3D0-6243-49EF-921B-43FF3D9A163D}" name="Present Value (PV) Project Costs" totalsRowFunction="sum" dataDxfId="807" totalsRowDxfId="806"/>
    <tableColumn id="2" xr3:uid="{70221BF2-E1F1-424D-984B-40C6C305C934}" name="Project Costs at 7% Discount Rate" totalsRowFunction="sum" dataDxfId="805" totalsRowDxfId="804" dataCellStyle="Currency"/>
    <tableColumn id="3" xr3:uid="{1DC3677A-5C33-46E6-9C8B-BAFC266BF9E6}" name="Project Costs at 3% Discount Rate" totalsRowFunction="sum" dataDxfId="803" totalsRowDxfId="802" dataCellStyle="Currency" totalsRowCellStyle="Currency"/>
  </tableColumns>
  <tableStyleInfo name="TableStyleLight10"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81A461C4-51BB-400A-B285-CD5C0B2D9918}" name="Table3B.6_27Delay_PA" displayName="Table3B.6_27Delay_PA" ref="B116:H132" totalsRowCount="1" headerRowDxfId="394" dataDxfId="393" totalsRowDxfId="392">
  <autoFilter ref="B116:H131" xr:uid="{81A461C4-51BB-400A-B285-CD5C0B2D9918}"/>
  <tableColumns count="7">
    <tableColumn id="1" xr3:uid="{AB18297E-4253-4482-BBCF-AAD2684BAE2F}" name="Time" totalsRowLabel="Total" dataDxfId="391" totalsRowDxfId="390"/>
    <tableColumn id="2" xr3:uid="{801363EC-3291-4111-B7A6-E51E324E2378}" name="Car Traffic Share" dataDxfId="389" totalsRowDxfId="388" dataCellStyle="Input"/>
    <tableColumn id="3" xr3:uid="{919AF78D-8E3C-4FD7-B7FD-AFA0695D62D1}" name="Truck Traffic Share" dataDxfId="387" totalsRowDxfId="386" dataCellStyle="Input"/>
    <tableColumn id="4" xr3:uid="{522AC37A-3FD2-4F1E-B021-DC6D3762F917}" name="Car Traffic" totalsRowFunction="sum" dataDxfId="385" totalsRowDxfId="384" dataCellStyle="Comma">
      <calculatedColumnFormula>C97*Table3B.6_27Delay_PA[[#This Row],[Car Traffic Share]]</calculatedColumnFormula>
    </tableColumn>
    <tableColumn id="5" xr3:uid="{58CD6187-F96F-465B-A848-295FB74D8EE1}" name="Car Delay _x000a_(hrs)" totalsRowFunction="sum" dataDxfId="383" totalsRowDxfId="382" dataCellStyle="Calculation">
      <calculatedColumnFormula>H97*Table3B.6_27Delay_PA[[#This Row],[Car Traffic]]</calculatedColumnFormula>
    </tableColumn>
    <tableColumn id="6" xr3:uid="{2B87ADC0-1D99-4C92-9E0F-17088AB03CB5}" name="Truck Traffic" totalsRowFunction="sum" dataDxfId="381" totalsRowDxfId="380" dataCellStyle="Calculation">
      <calculatedColumnFormula>C97*Table3B.6_27Delay_PA[[#This Row],[Truck Traffic Share]]</calculatedColumnFormula>
    </tableColumn>
    <tableColumn id="7" xr3:uid="{DA146AFC-4B99-474F-BE29-7ECB1D363324}" name="Truck Delay (hrs)" totalsRowFunction="sum" dataDxfId="379" totalsRowDxfId="378" dataCellStyle="Calculation">
      <calculatedColumnFormula>H97*Table3B.6_27Delay_PA[[#This Row],[Truck Traffic]]</calculatedColumnFormula>
    </tableColumn>
  </tableColumns>
  <tableStyleInfo name="TableStyleLight11"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8F0E8748-4A9B-4AF4-B254-F63994A79242}" name="Table3B.7_27Money" displayName="Table3B.7_27Money" ref="B136:H152" totalsRowCount="1" headerRowDxfId="377" dataDxfId="376">
  <autoFilter ref="B136:H151" xr:uid="{8F0E8748-4A9B-4AF4-B254-F63994A79242}"/>
  <tableColumns count="7">
    <tableColumn id="1" xr3:uid="{B4684DE1-E226-4A64-9E75-EA7042CD5149}" name="Time" totalsRowLabel="Total" dataDxfId="375" totalsRowDxfId="374"/>
    <tableColumn id="2" xr3:uid="{1D8B34ED-913D-4EBE-BA7D-0EC6D5475EF9}" name="Car Delay Savings (hrs)" dataDxfId="373" totalsRowDxfId="372" dataCellStyle="Comma">
      <calculatedColumnFormula>F77-F117</calculatedColumnFormula>
    </tableColumn>
    <tableColumn id="3" xr3:uid="{29701312-1FF3-4831-B68E-F415011C3784}" name="Truck Delay Savings (hrs)" dataDxfId="371" totalsRowDxfId="370" dataCellStyle="Comma">
      <calculatedColumnFormula>H77-H117</calculatedColumnFormula>
    </tableColumn>
    <tableColumn id="4" xr3:uid="{D9E83AA2-F7E4-4087-AC06-1391EBA66ABD}" name="Car Savings Benefits (Daily)" totalsRowFunction="sum" totalsRowDxfId="369" dataCellStyle="Currency">
      <calculatedColumnFormula>Table3B.7_27Money[[#This Row],[Car Delay Savings (hrs)]]*All_Purpose_Travel*Passenger_Vehicles_Occupancy</calculatedColumnFormula>
    </tableColumn>
    <tableColumn id="5" xr3:uid="{BFD86185-170D-4FFC-B03B-F4B693ED6CED}" name="Truck Savings Benefits (Daily)" totalsRowFunction="sum" totalsRowDxfId="368" dataCellStyle="Currency">
      <calculatedColumnFormula>Table3B.7_27Money[[#This Row],[Truck Delay Savings (hrs)]]*Truck_Travel</calculatedColumnFormula>
    </tableColumn>
    <tableColumn id="6" xr3:uid="{9DAE6B93-F39B-40DE-ADCF-5FE0383D61E6}" name="Total Benefits, Low (270 Days)" totalsRowFunction="sum" totalsRowDxfId="367" dataCellStyle="Currency">
      <calculatedColumnFormula>(Table3B.7_27Money[[#This Row],[Truck Savings Benefits (Daily)]]+Table3B.7_27Money[[#This Row],[Car Savings Benefits (Daily)]])*270</calculatedColumnFormula>
    </tableColumn>
    <tableColumn id="7" xr3:uid="{A53C4425-3544-4F2C-803B-AC9A1F865D8D}" name="Total Benefits, High (365 Days)" totalsRowFunction="sum" totalsRowDxfId="366" dataCellStyle="Currency">
      <calculatedColumnFormula>(Table3B.7_27Money[[#This Row],[Car Savings Benefits (Daily)]]+Table3B.7_27Money[[#This Row],[Truck Savings Benefits (Daily)]])*365</calculatedColumnFormula>
    </tableColumn>
  </tableColumns>
  <tableStyleInfo name="TableStyleLight11"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61A2B04D-5751-4900-AA1A-A57EB535EABB}" name="Table3C.1_57TTS_NB" displayName="Table3C.1_57TTS_NB" ref="B10:H26" totalsRowCount="1" headerRowDxfId="365" dataDxfId="364" dataCellStyle="Input">
  <autoFilter ref="B10:H25" xr:uid="{F3553AA8-B0B6-4436-B070-1926966DD78F}"/>
  <tableColumns count="7">
    <tableColumn id="1" xr3:uid="{788A6019-BEFF-40B3-AA5A-0BAB64DA732A}" name="Time" totalsRowLabel="Total" dataDxfId="363" totalsRowDxfId="362"/>
    <tableColumn id="2" xr3:uid="{A9F8E65F-34F1-4A5A-BBB7-534ADFF0A926}" name="Total Vehicles in Network" totalsRowFunction="sum" dataDxfId="361" totalsRowDxfId="360" dataCellStyle="Input"/>
    <tableColumn id="3" xr3:uid="{0F8FA11A-725D-4173-A0DC-05620823AA82}" name="VMT: Total Path Distance (mi)" totalsRowFunction="sum" dataDxfId="359" totalsRowDxfId="358" dataCellStyle="Input"/>
    <tableColumn id="4" xr3:uid="{C972BC8B-5D58-4F22-9CAB-0B688BEACE1E}" name="VHT: Total Time in Network (hr)" totalsRowFunction="sum" dataDxfId="357" totalsRowDxfId="356" dataCellStyle="Input"/>
    <tableColumn id="5" xr3:uid="{5E8059B3-C33C-4D49-B953-0BC75B96ACBA}" name="Average Speed (mph)" totalsRowFunction="average" dataDxfId="355" totalsRowDxfId="354" dataCellStyle="Input"/>
    <tableColumn id="6" xr3:uid="{AB298FF2-E3F5-45A7-B24E-EBA95F071697}" name="Total Delay (hr)" totalsRowFunction="sum" dataDxfId="353" totalsRowDxfId="352" dataCellStyle="Input"/>
    <tableColumn id="7" xr3:uid="{CD9F7AB6-40EC-4E91-9FF5-16357DD96C70}" name="Average Delay (hr/veh)" totalsRowFunction="average" dataDxfId="351" totalsRowDxfId="350" dataCellStyle="Input">
      <calculatedColumnFormula>Table3C.1_57TTS_NB[[#This Row],[Total Delay (hr)]]/Table3C.1_57TTS_NB[[#This Row],[Total Vehicles in Network]]</calculatedColumnFormula>
    </tableColumn>
  </tableColumns>
  <tableStyleInfo name="TableStyleLight11"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E1ADE0A5-52D6-4152-AB85-5F88B4A1A92C}" name="Table3C.3_57TTS_PA" displayName="Table3C.3_57TTS_PA" ref="B50:H66" totalsRowCount="1" headerRowDxfId="349" dataDxfId="348" dataCellStyle="Input">
  <autoFilter ref="B50:H65" xr:uid="{C700F461-FD7E-4502-B1AD-801EF88ED65C}"/>
  <tableColumns count="7">
    <tableColumn id="1" xr3:uid="{DE3C92BE-B80C-4350-95C7-EC58BFBDD083}" name="Time" totalsRowLabel="Total" dataDxfId="347" totalsRowDxfId="346"/>
    <tableColumn id="2" xr3:uid="{AA40C3E6-C107-4F10-9688-73A2E9EE7F5F}" name="Total Vehicles Traveling Within the Network" totalsRowFunction="sum" dataDxfId="345" totalsRowDxfId="344" dataCellStyle="Input"/>
    <tableColumn id="3" xr3:uid="{A46C641B-FBE0-446E-8FDA-886E26CC3C65}" name="VMT: Total Path Distance (mi)" totalsRowFunction="sum" dataDxfId="343" totalsRowDxfId="342" dataCellStyle="Input"/>
    <tableColumn id="4" xr3:uid="{A2C5D16E-9671-4A62-92EF-52DB28B1D783}" name="VHT: Total Time Within the Network (hr)" totalsRowFunction="sum" dataDxfId="341" totalsRowDxfId="340" dataCellStyle="Input"/>
    <tableColumn id="5" xr3:uid="{BAAE98F1-6C62-4BBD-8204-01654905DCDE}" name="Average Speed (mph)" totalsRowFunction="average" dataDxfId="339" totalsRowDxfId="338" dataCellStyle="Input"/>
    <tableColumn id="6" xr3:uid="{F25AF35E-9983-4486-8DC9-F3154551CAC9}" name="Total Delay: All Vehicles (hr)" totalsRowFunction="sum" dataDxfId="337" totalsRowDxfId="336" dataCellStyle="Input"/>
    <tableColumn id="7" xr3:uid="{FEC03534-B569-4BF5-BBCE-1CDC5C2C812C}" name="Average Delay: Per Vehicle (hr/veh)" totalsRowFunction="average" dataDxfId="335" totalsRowDxfId="334" dataCellStyle="Input">
      <calculatedColumnFormula>Table3C.3_57TTS_PA[[#This Row],[Total Delay: All Vehicles (hr)]]/Table3C.3_57TTS_PA[[#This Row],[Total Vehicles Traveling Within the Network]]</calculatedColumnFormula>
    </tableColumn>
  </tableColumns>
  <tableStyleInfo name="TableStyleLight11"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EA4C977-89BB-4FF3-89BD-FE483BD0B8B9}" name="Table3C.2_57_Delay_NB" displayName="Table3C.2_57_Delay_NB" ref="B30:H46" totalsRowCount="1" headerRowDxfId="333" dataDxfId="332">
  <autoFilter ref="B30:H45" xr:uid="{1402CC7F-51AE-4B67-BF8E-E3A20CD43F22}"/>
  <tableColumns count="7">
    <tableColumn id="1" xr3:uid="{3E030770-4413-4548-8147-AC5C2D07BFF6}" name="Time" totalsRowLabel="Total" dataDxfId="331" totalsRowDxfId="330"/>
    <tableColumn id="2" xr3:uid="{B6F3FF50-4A78-40DD-8BEB-F0936850C61C}" name="Car Traffic Share" dataDxfId="329" totalsRowDxfId="328" dataCellStyle="Input"/>
    <tableColumn id="3" xr3:uid="{48054B3F-BC0F-4DE6-BCB9-3A5482993ED2}" name="Truck Traffic Share" dataDxfId="327" totalsRowDxfId="326" dataCellStyle="Input"/>
    <tableColumn id="4" xr3:uid="{1A13CB20-226D-4DC9-A29D-D3A712CBB1E2}" name="Car Traffic" totalsRowFunction="sum" dataDxfId="325" totalsRowDxfId="324" dataCellStyle="Comma">
      <calculatedColumnFormula>C11*Table3C.2_57_Delay_NB[[#This Row],[Car Traffic Share]]</calculatedColumnFormula>
    </tableColumn>
    <tableColumn id="5" xr3:uid="{EAD9B563-AE66-4A1E-8746-33B8FA943F58}" name="Car Delay _x000a_(hrs)" totalsRowFunction="sum" totalsRowDxfId="323" dataCellStyle="Comma">
      <calculatedColumnFormula>H11*Table3C.2_57_Delay_NB[[#This Row],[Car Traffic]]</calculatedColumnFormula>
    </tableColumn>
    <tableColumn id="6" xr3:uid="{EA0FCC12-E971-4021-93FE-546AF2477D07}" name="Truck Traffic" totalsRowFunction="sum" totalsRowDxfId="322" dataCellStyle="Comma">
      <calculatedColumnFormula>C11*Table3C.2_57_Delay_NB[[#This Row],[Truck Traffic Share]]</calculatedColumnFormula>
    </tableColumn>
    <tableColumn id="7" xr3:uid="{63BCEF1B-133F-48AC-92D0-37E1EBF928D6}" name="Truck Delay (hrs)" totalsRowFunction="sum" totalsRowDxfId="321" dataCellStyle="Comma">
      <calculatedColumnFormula>H11*Table3C.2_57_Delay_NB[[#This Row],[Truck Traffic]]</calculatedColumnFormula>
    </tableColumn>
  </tableColumns>
  <tableStyleInfo name="TableStyleLight11"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5D2199CA-8A62-49E8-8D13-1BFBAD539B76}" name="Table3C.4_57Delay_PA" displayName="Table3C.4_57Delay_PA" ref="B70:H86" totalsRowCount="1" headerRowDxfId="320" dataDxfId="319">
  <autoFilter ref="B70:H85" xr:uid="{81A461C4-51BB-400A-B285-CD5C0B2D9918}"/>
  <tableColumns count="7">
    <tableColumn id="1" xr3:uid="{95B5A75D-F671-4EC7-A68C-FF636E89A77A}" name="Time" totalsRowLabel="Total" dataDxfId="318" totalsRowDxfId="317"/>
    <tableColumn id="2" xr3:uid="{76BE763C-B167-489D-BB95-5CE6B1D4A1E6}" name="Car Traffic Share" dataDxfId="316" totalsRowDxfId="315" dataCellStyle="Input"/>
    <tableColumn id="3" xr3:uid="{5D371DDB-9406-4DDB-A938-71C4C0EA3BF6}" name="Truck Traffic Share" dataDxfId="314" totalsRowDxfId="313" dataCellStyle="Input"/>
    <tableColumn id="4" xr3:uid="{275B5F67-BAD3-4257-8BAB-CB31C9F375A5}" name="Car Traffic" totalsRowFunction="sum" dataDxfId="312" totalsRowDxfId="311" dataCellStyle="Comma">
      <calculatedColumnFormula>C51*Table3C.4_57Delay_PA[[#This Row],[Car Traffic Share]]</calculatedColumnFormula>
    </tableColumn>
    <tableColumn id="5" xr3:uid="{AD29C83B-E64E-4FBC-8DD4-F37ACAFB7118}" name="Car Delay _x000a_(hrs)" totalsRowFunction="sum" totalsRowDxfId="310" dataCellStyle="Comma">
      <calculatedColumnFormula>H51*Table3C.4_57Delay_PA[[#This Row],[Car Traffic]]</calculatedColumnFormula>
    </tableColumn>
    <tableColumn id="6" xr3:uid="{4996CBDC-3694-447A-88AB-256666E1F7D9}" name="Truck Traffic" totalsRowFunction="sum" totalsRowDxfId="309" dataCellStyle="Comma">
      <calculatedColumnFormula>C51*Table3C.4_57Delay_PA[[#This Row],[Truck Traffic Share]]</calculatedColumnFormula>
    </tableColumn>
    <tableColumn id="7" xr3:uid="{50B964B0-8B25-40FE-8956-DE02C69BFD10}" name="Truck Delay (hrs)" totalsRowFunction="sum" totalsRowDxfId="308" dataCellStyle="Comma">
      <calculatedColumnFormula>H51*Table3C.4_57Delay_PA[[#This Row],[Truck Traffic]]</calculatedColumnFormula>
    </tableColumn>
  </tableColumns>
  <tableStyleInfo name="TableStyleLight11"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3F154337-696F-452A-8B9D-492E94A38F85}" name="Table3C.7_57TTSMoney" displayName="Table3C.7_57TTSMoney" ref="B90:H106" totalsRowCount="1" headerRowDxfId="307" dataDxfId="306">
  <autoFilter ref="B90:H105" xr:uid="{8F0E8748-4A9B-4AF4-B254-F63994A79242}"/>
  <tableColumns count="7">
    <tableColumn id="1" xr3:uid="{5909993E-74D5-4220-82D1-60F834709F32}" name="Time" totalsRowLabel="Total" dataDxfId="305" totalsRowDxfId="304"/>
    <tableColumn id="2" xr3:uid="{A6BCD730-6EF3-4B74-99C5-0D6FD67FE4D7}" name="Car Delay Savings (hrs)" totalsRowFunction="sum" dataDxfId="303" totalsRowDxfId="302" dataCellStyle="Comma">
      <calculatedColumnFormula>F31-F71</calculatedColumnFormula>
    </tableColumn>
    <tableColumn id="3" xr3:uid="{884D6E6A-6534-446F-90EF-2B5D7CD91D1D}" name="Truck Delay Savings (hrs)" totalsRowFunction="sum" dataDxfId="301" totalsRowDxfId="300" dataCellStyle="Comma">
      <calculatedColumnFormula>H31-H71</calculatedColumnFormula>
    </tableColumn>
    <tableColumn id="4" xr3:uid="{25BE35ED-DD69-4C59-BA5A-AFF859E29DB9}" name="Car Savings Benefits (Daily)" totalsRowFunction="sum" totalsRowDxfId="299" dataCellStyle="Currency">
      <calculatedColumnFormula>Table3C.7_57TTSMoney[[#This Row],[Car Delay Savings (hrs)]]*All_Purpose_Travel*Passenger_Vehicles_Occupancy</calculatedColumnFormula>
    </tableColumn>
    <tableColumn id="5" xr3:uid="{F2CDF506-1B71-47D0-89CB-3BC4705C8F49}" name="Truck Savings Benefits (Daily)" totalsRowFunction="sum" totalsRowDxfId="298" dataCellStyle="Currency">
      <calculatedColumnFormula>Table3C.7_57TTSMoney[[#This Row],[Truck Delay Savings (hrs)]]*Truck_Travel</calculatedColumnFormula>
    </tableColumn>
    <tableColumn id="6" xr3:uid="{E88248E0-887C-44EE-9BB3-880884FAD965}" name="Total Benefits, Low (270 Days)" totalsRowFunction="sum" totalsRowDxfId="297" dataCellStyle="Currency">
      <calculatedColumnFormula>(Table3C.7_57TTSMoney[[#This Row],[Truck Savings Benefits (Daily)]]+Table3C.7_57TTSMoney[[#This Row],[Car Savings Benefits (Daily)]])*270</calculatedColumnFormula>
    </tableColumn>
    <tableColumn id="7" xr3:uid="{636B463E-23B8-483F-8D43-D0CA87E40CDD}" name="Total Benefits, High (365 Days)" totalsRowFunction="sum" totalsRowDxfId="296" dataCellStyle="Currency">
      <calculatedColumnFormula>(Table3C.7_57TTSMoney[[#This Row],[Car Savings Benefits (Daily)]]+Table3C.7_57TTSMoney[[#This Row],[Truck Savings Benefits (Daily)]])*365</calculatedColumnFormula>
    </tableColumn>
  </tableColumns>
  <tableStyleInfo name="TableStyleLight11"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29E8CF-BB59-4C91-B952-3566A0C51A71}" name="Table3D.1_DailyTTS_NB" displayName="Table3D.1_DailyTTS_NB" ref="B9:H46" totalsRowCount="1" headerRowDxfId="295" dataDxfId="294">
  <autoFilter ref="B9:H45" xr:uid="{0029E8CF-BB59-4C91-B952-3566A0C51A71}"/>
  <tableColumns count="7">
    <tableColumn id="1" xr3:uid="{8AF095A6-7B63-43C1-993E-73A36B2186AB}" name="Year" totalsRowLabel="Average" dataDxfId="293" totalsRowDxfId="292">
      <calculatedColumnFormula>First_Year+'Appendix B. Project Info'!B20</calculatedColumnFormula>
    </tableColumn>
    <tableColumn id="2" xr3:uid="{C0FE3A4A-FDA9-4D79-BC9E-DC43F4B4CACD}" name="Total Traffic in Network (Veh/Day)" totalsRowFunction="average" dataDxfId="291" totalsRowDxfId="290" dataCellStyle="Comma">
      <calculatedColumnFormula array="1">IF(Table3D.1_DailyTTS_NB[[#This Row],[Year]]=Closeout,Traffic_27NB,Traffic_27NB+(TrafChange_NB*(Table3D.1_DailyTTS_NB[[#This Row],[Year]]-2027)))</calculatedColumnFormula>
    </tableColumn>
    <tableColumn id="3" xr3:uid="{84ECED3A-EC9C-4F57-A4DD-521AB83AC5D5}" name="Vehicle Miles Traveled (VMT/Day)" totalsRowFunction="average" dataDxfId="289" totalsRowDxfId="288" dataCellStyle="Comma">
      <calculatedColumnFormula array="1">IF(Table3D.1_DailyTTS_NB[[#This Row],[Year]]=Closeout,VMT_27NB,VMT_27NB+(VMTChange_NB*(Table3D.1_DailyTTS_NB[[#This Row],[Year]]-2027)))</calculatedColumnFormula>
    </tableColumn>
    <tableColumn id="4" xr3:uid="{951DF987-A60D-45BA-9275-509B4F736BC0}" name="Vehicle Hours Traveled (VHT/Day)" totalsRowFunction="average" dataDxfId="287" totalsRowDxfId="286" dataCellStyle="Comma">
      <calculatedColumnFormula array="1">IF(Table3D.1_DailyTTS_NB[[#This Row],[Year]]=Closeout,VHT_27NB,VHT_27NB+(VHTChange_NB*(Table3D.1_DailyTTS_NB[[#This Row],[Year]]-2027)))</calculatedColumnFormula>
    </tableColumn>
    <tableColumn id="5" xr3:uid="{BF0B4473-236B-4061-B9A1-7EC1217F839F}" name="Average Speed (MPH)" totalsRowFunction="average" dataDxfId="285" totalsRowDxfId="284" dataCellStyle="Comma">
      <calculatedColumnFormula array="1">IF(Table3D.1_DailyTTS_NB[[#This Row],[Year]]=Closeout,MPH_27NB,MPH_27NB+(MPHChange_NB*(Table3D.1_DailyTTS_NB[[#This Row],[Year]]-2027)))</calculatedColumnFormula>
    </tableColumn>
    <tableColumn id="6" xr3:uid="{50AB190E-F18A-47B2-A887-0F65DA5C9C8C}" name="Total Delay (hrs/day)" totalsRowFunction="average" dataDxfId="283" totalsRowDxfId="282" dataCellStyle="Comma">
      <calculatedColumnFormula array="1">IF(Table3D.1_DailyTTS_NB[[#This Row],[Year]]=Closeout,DelayTot_27NB,DelayTot_27NB+(DelayTotChange_NB*(Table3D.1_DailyTTS_NB[[#This Row],[Year]]-2027)))</calculatedColumnFormula>
    </tableColumn>
    <tableColumn id="7" xr3:uid="{54839B4C-A3E0-46E7-BC73-AA73422B7E85}" name="Average Delay (Hrs/Veh/Day)" totalsRowFunction="average" dataDxfId="281" totalsRowDxfId="280" dataCellStyle="Comma">
      <calculatedColumnFormula array="1">IF(Table3D.1_DailyTTS_NB[[#This Row],[Year]]=Closeout,AvgDelay_27NB,AvgDelay_27NB+(DelayChange_NB*(Table3D.1_DailyTTS_NB[[#This Row],[Year]]-2027)))</calculatedColumnFormula>
    </tableColumn>
  </tableColumns>
  <tableStyleInfo name="TableStyleLight11"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49B23DF5-8364-4689-B27A-EA6A092A431A}" name="Table3D.2_DailyTTS_PA" displayName="Table3D.2_DailyTTS_PA" ref="B50:H87" totalsRowCount="1" headerRowDxfId="279" dataDxfId="278">
  <autoFilter ref="B50:H86" xr:uid="{49B23DF5-8364-4689-B27A-EA6A092A431A}"/>
  <tableColumns count="7">
    <tableColumn id="1" xr3:uid="{CDFA33DA-4727-4637-9723-C5EE8E4A19BD}" name="Year" totalsRowLabel="Average" dataDxfId="277" totalsRowDxfId="276">
      <calculatedColumnFormula>First_Year+'Appendix B. Project Info'!B20</calculatedColumnFormula>
    </tableColumn>
    <tableColumn id="2" xr3:uid="{D82A9767-39C6-4FBA-B6B5-3F20A0EEA200}" name="Total Traffic in Network (Veh/Day)" totalsRowFunction="average" dataDxfId="275" totalsRowDxfId="274" dataCellStyle="Comma">
      <calculatedColumnFormula array="1">IF(Table3D.2_DailyTTS_PA[[#This Row],[Year]]=Closeout,Traffic_27PA,Traffic_27PA+(TrafChange_PA*(Table3D.2_DailyTTS_PA[[#This Row],[Year]]-2027)))</calculatedColumnFormula>
    </tableColumn>
    <tableColumn id="3" xr3:uid="{C39D9598-BA41-4179-BCC8-A8D023CA1C9C}" name="Vehicle Miles Traveled (VMT/Day)" totalsRowFunction="average" dataDxfId="273" totalsRowDxfId="272" dataCellStyle="Comma">
      <calculatedColumnFormula array="1">IF(Table3D.2_DailyTTS_PA[[#This Row],[Year]]=Closeout,VMT_27PA,VMT_27PA+(VMTChange_PA*(Table3D.2_DailyTTS_PA[[#This Row],[Year]]-2027)))</calculatedColumnFormula>
    </tableColumn>
    <tableColumn id="4" xr3:uid="{0206DF5B-B370-4FE6-8DB0-9C49DDDC5219}" name="Vehicle Hours Traveled (VHT/Day)" totalsRowFunction="average" dataDxfId="271" totalsRowDxfId="270" dataCellStyle="Comma">
      <calculatedColumnFormula array="1">IF(Table3D.2_DailyTTS_PA[[#This Row],[Year]]=Closeout,VHT_27PA,VHT_27PA+(VHTChange_PA*(Table3D.2_DailyTTS_PA[[#This Row],[Year]]-2027)))</calculatedColumnFormula>
    </tableColumn>
    <tableColumn id="5" xr3:uid="{F9CDBF1D-B039-4A0F-853F-11BEE47115B2}" name="Average Speed (MPH)" totalsRowFunction="average" dataDxfId="269" totalsRowDxfId="268" dataCellStyle="Comma">
      <calculatedColumnFormula array="1">IF(Table3D.2_DailyTTS_PA[[#This Row],[Year]]=Closeout,MPH_27PA,MPH_27PA+(MPHChange_PA*(Table3D.2_DailyTTS_PA[[#This Row],[Year]]-2027)))</calculatedColumnFormula>
    </tableColumn>
    <tableColumn id="6" xr3:uid="{4221C4E3-55CC-4653-9826-FC09BFDF37FE}" name="Total Delay (hrs/day)" totalsRowFunction="average" dataDxfId="267" totalsRowDxfId="266" dataCellStyle="Comma">
      <calculatedColumnFormula array="1">IF(Table3D.2_DailyTTS_PA[[#This Row],[Year]]=Closeout,DelayTot_27PA,DelayTot_27PA+(DelayTotChange_PA*(Table3D.2_DailyTTS_PA[[#This Row],[Year]]-2027)))</calculatedColumnFormula>
    </tableColumn>
    <tableColumn id="7" xr3:uid="{F17EB5D8-4559-4B79-9FD6-2F7C90A8FD19}" name="Average Delay (Hrs/Veh/Day)" totalsRowFunction="average" dataDxfId="265" totalsRowDxfId="264" dataCellStyle="Comma">
      <calculatedColumnFormula array="1">IF(Table3D.2_DailyTTS_PA[[#This Row],[Year]]=Closeout,AvgDelay_27PA,AvgDelay_27PA+(DelayChange_PA*(Table3D.2_DailyTTS_PA[[#This Row],[Year]]-2027)))</calculatedColumnFormula>
    </tableColumn>
  </tableColumns>
  <tableStyleInfo name="TableStyleLight11"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36697F77-A85D-4493-82E0-D986740F4729}" name="Table3D.3_TTSMoneySum" displayName="Table3D.3_TTSMoneySum" ref="B91:H128" totalsRowCount="1" headerRowDxfId="263" dataDxfId="262">
  <autoFilter ref="B91:H127" xr:uid="{36697F77-A85D-4493-82E0-D986740F4729}"/>
  <tableColumns count="7">
    <tableColumn id="1" xr3:uid="{5BDC68B6-7685-4CE9-8BE9-BFB58869CDF7}" name="Year" totalsRowLabel="Total" dataDxfId="261" totalsRowDxfId="260">
      <calculatedColumnFormula>B91+1</calculatedColumnFormula>
    </tableColumn>
    <tableColumn id="2" xr3:uid="{86D09780-2CCA-4078-B4D4-716FC4701025}" name="Car Delay Savings (Hrs/Day)" dataDxfId="259" totalsRowDxfId="258" dataCellStyle="Normal">
      <calculatedColumnFormula>IF(Table3D.3_TTSMoneySum[[#This Row],[Year]]&gt;Closeout,((G10-G51)*0.94),"")</calculatedColumnFormula>
    </tableColumn>
    <tableColumn id="3" xr3:uid="{537A924C-D190-448B-863C-1C1A1D090DB5}" name="Truck Delay Savings (Hrs/Day)" dataDxfId="257" totalsRowDxfId="256" dataCellStyle="Normal">
      <calculatedColumnFormula>IF(Table3D.3_TTSMoneySum[[#This Row],[Year]]&gt;Closeout,((G10-G51)*0.06),"")</calculatedColumnFormula>
    </tableColumn>
    <tableColumn id="4" xr3:uid="{81F1601A-258F-4C7C-8309-623A5971938A}" name="Car Savings Benefits ($/Day)" totalsRowFunction="sum" dataDxfId="255" totalsRowDxfId="254" dataCellStyle="Currency">
      <calculatedColumnFormula>IFERROR((Table3D.3_TTSMoneySum[[#This Row],[Car Delay Savings (Hrs/Day)]]*All_Purpose_Travel*Passenger_Vehicles_Occupancy),"")</calculatedColumnFormula>
    </tableColumn>
    <tableColumn id="5" xr3:uid="{96674F7A-5F3A-412F-B3B4-5F366C9152A1}" name="Truck Savings Benefits ($/Day)" totalsRowFunction="sum" dataDxfId="253" totalsRowDxfId="252" dataCellStyle="Currency">
      <calculatedColumnFormula>IFERROR((Table3D.3_TTSMoneySum[[#This Row],[Truck Delay Savings (Hrs/Day)]]*Truck_Travel),"")</calculatedColumnFormula>
    </tableColumn>
    <tableColumn id="6" xr3:uid="{083F51CD-3B9B-4D79-B3B8-C174C77E0085}" name="Annual Benefits, Low (270 Days)" totalsRowFunction="sum" totalsRowDxfId="251" dataCellStyle="Currency">
      <calculatedColumnFormula>SUM(Table3D.3_TTSMoneySum[[#This Row],[Car Savings Benefits ($/Day)]:[Truck Savings Benefits ($/Day)]])*270</calculatedColumnFormula>
    </tableColumn>
    <tableColumn id="7" xr3:uid="{72320D61-8882-48FC-97C7-8C1B686C5127}" name="Annual Benefits, High (365 Days)" totalsRowFunction="sum" totalsRowDxfId="250" dataCellStyle="Currency">
      <calculatedColumnFormula>SUM(Table3D.3_TTSMoneySum[[#This Row],[Car Savings Benefits ($/Day)]:[Truck Savings Benefits ($/Day)]])*365</calculatedColumnFormula>
    </tableColumn>
  </tableColumns>
  <tableStyleInfo name="TableStyleLight1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9840DB9E-8C1E-4485-B543-6CCC0A721D9F}" name="Table1.1_Safety1" displayName="Table1.1_Safety1" ref="B17:H27" totalsRowCount="1" headerRowDxfId="801" dataDxfId="800" totalsRowDxfId="799">
  <autoFilter ref="B17:H26" xr:uid="{9840DB9E-8C1E-4485-B543-6CCC0A721D9F}"/>
  <tableColumns count="7">
    <tableColumn id="1" xr3:uid="{60DCB0DE-1C79-4590-930F-A5CFB1DE134C}" name="Crash Severity" totalsRowLabel="Total" dataDxfId="798" totalsRowDxfId="797"/>
    <tableColumn id="2" xr3:uid="{A0E18879-074A-46FB-BF8A-20C5CEEC47E7}" name="Column1" totalsRowFunction="sum" totalsRowDxfId="796" dataCellStyle="Input"/>
    <tableColumn id="3" xr3:uid="{8306D25C-8D8F-4748-94FF-42840BFC781F}" name="No-Build Predicted Crashes" totalsRowFunction="sum" dataDxfId="795" totalsRowDxfId="794" dataCellStyle="Input">
      <calculatedColumnFormula>C18</calculatedColumnFormula>
    </tableColumn>
    <tableColumn id="4" xr3:uid="{06025981-76C9-441F-84D9-48AC0D18682D}" name="Crash Reduction Factor" totalsRowFunction="custom" totalsRowDxfId="793" dataCellStyle="Input">
      <totalsRowFormula>Table1.1_Safety1[[#Totals],[Predicted Annual Crash Reduction]]/Table1.1_Safety1[[#Totals],[No-Build Predicted Crashes]]</totalsRowFormula>
    </tableColumn>
    <tableColumn id="5" xr3:uid="{CF11C4DF-DE96-4C9E-A648-F891C166E934}" name="Predicted Annual Crash Reduction" totalsRowFunction="sum" dataDxfId="792" totalsRowDxfId="791" dataCellStyle="Comma">
      <calculatedColumnFormula>Table1.1_Safety1[[#This Row],[No-Build Predicted Crashes]]*Table1.1_Safety1[[#This Row],[Crash Reduction Factor]]</calculatedColumnFormula>
    </tableColumn>
    <tableColumn id="6" xr3:uid="{778FBFDB-E2B8-4B19-BA82-E6313895875E}" name="Value of Injuries" totalsRowDxfId="790" dataCellStyle="Currency">
      <calculatedColumnFormula>VLOOKUP(Table1.1_Safety1[[#This Row],[Crash Severity]],TableA1_KABCO[],2,FALSE)</calculatedColumnFormula>
    </tableColumn>
    <tableColumn id="7" xr3:uid="{38EC49D8-9778-4FF9-B8F9-A13D5220C450}" name="Annual Savings" totalsRowFunction="sum" totalsRowDxfId="789" dataCellStyle="Currency">
      <calculatedColumnFormula>G18*F18</calculatedColumnFormula>
    </tableColumn>
  </tableColumns>
  <tableStyleInfo name="TableStyleLight9"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2ADFAD65-B55C-47B6-A1CF-585E93EA59AE}" name="Table4.1_ForegoneSummary" displayName="Table4.1_ForegoneSummary" ref="C10:E18" totalsRowCount="1" headerRowDxfId="249">
  <tableColumns count="3">
    <tableColumn id="1" xr3:uid="{4EBE0F5F-27FD-44CB-A6AE-0895D9BFC59F}" name="Expense" totalsRowLabel="Total" dataDxfId="248" totalsRowDxfId="247"/>
    <tableColumn id="2" xr3:uid="{DE8AB75A-3333-426B-8695-797345935BAB}" name="Annual Average" totalsRowFunction="sum" dataDxfId="246" totalsRowDxfId="245" dataCellStyle="Currency">
      <calculatedColumnFormula>Table4.1_ForegoneSummary[[#This Row],[30-Year Total]]/30</calculatedColumnFormula>
    </tableColumn>
    <tableColumn id="3" xr3:uid="{3EC4D2E8-35EE-4A7E-9D08-885363FE5CB5}" name="30-Year Total" totalsRowFunction="sum" dataDxfId="244" totalsRowDxfId="243">
      <calculatedColumnFormula>'4B. Foregone Cost Backup'!F31</calculatedColumnFormula>
    </tableColumn>
  </tableColumns>
  <tableStyleInfo name="TableStyleLight14"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436F0C0E-A82E-4159-94BD-13CA11A37CE7}" name="Table4.1_ForegoneSummary83" displayName="Table4.1_ForegoneSummary83" ref="C22:E28" totalsRowCount="1" headerRowDxfId="242">
  <tableColumns count="3">
    <tableColumn id="1" xr3:uid="{B3B2CA3C-2FFE-469C-A38A-FF6FD5BEEA3F}" name="Expense" totalsRowLabel="Total" dataDxfId="241" totalsRowDxfId="240"/>
    <tableColumn id="2" xr3:uid="{0B2A65E6-0CA6-4715-8E9D-E63944675AFE}" name="Year" dataDxfId="239" totalsRowDxfId="238" dataCellStyle="Currency">
      <calculatedColumnFormula>Table4.1_ForegoneSummary83[[#This Row],[Total]]/30</calculatedColumnFormula>
    </tableColumn>
    <tableColumn id="3" xr3:uid="{5CB7B0FD-F45F-47F9-A9B4-DE459478CA1A}" name="Total" totalsRowFunction="sum" dataDxfId="237" totalsRowDxfId="236">
      <calculatedColumnFormula>'4B. Foregone Cost Backup'!F39</calculatedColumnFormula>
    </tableColumn>
  </tableColumns>
  <tableStyleInfo name="TableStyleLight14"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AFE2E910-B0A7-47C7-A7BD-C166BD37DCBA}" name="Table57" displayName="Table57" ref="B15:F20" totalsRowShown="0" headerRowDxfId="235">
  <autoFilter ref="B15:F20" xr:uid="{AFE2E910-B0A7-47C7-A7BD-C166BD37DCBA}"/>
  <tableColumns count="5">
    <tableColumn id="1" xr3:uid="{5151F639-FFBE-4D21-AF08-0599F988BED3}" name="Cost Type"/>
    <tableColumn id="2" xr3:uid="{665D82E0-F66A-477D-BEEE-FD2DE6DB9709}" name="Square Feet/Each"/>
    <tableColumn id="3" xr3:uid="{AFBBBFCB-D3A2-4E31-B56E-A32C9C67E4AB}" name="Unit Cost/EA/SF"/>
    <tableColumn id="5" xr3:uid="{0B5C0504-9F51-46FF-B2B5-48F2F6EF982D}" name="Iterations"/>
    <tableColumn id="4" xr3:uid="{1C903AFE-9C1B-4326-A262-E888E9BF6368}" name="Total Cost" dataDxfId="234">
      <calculatedColumnFormula>Table57[[#This Row],[Iterations]]*Table57[[#This Row],[Unit Cost/EA/SF]]*Table57[[#This Row],[Square Feet/Each]]</calculatedColumnFormula>
    </tableColumn>
  </tableColumns>
  <tableStyleInfo name="TableStyleLight11"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80A52293-415E-4DCF-A57D-B602AE831031}" name="Table58" displayName="Table58" ref="B25:F32" totalsRowShown="0" headerRowDxfId="233">
  <autoFilter ref="B25:F32" xr:uid="{80A52293-415E-4DCF-A57D-B602AE831031}"/>
  <tableColumns count="5">
    <tableColumn id="1" xr3:uid="{3290C3E5-72C8-4725-AC37-E4D8BA7F9BCC}" name="Cost Type"/>
    <tableColumn id="2" xr3:uid="{7AE88E76-5F38-4F6B-BE0A-33847F246FED}" name="Square Feet/Each"/>
    <tableColumn id="3" xr3:uid="{4D906ADA-84D8-4D80-BB5E-B9815617238A}" name="Unit Cost/EA/SF"/>
    <tableColumn id="5" xr3:uid="{F885BBD4-27C5-45B4-8F40-C5F95D85B7DB}" name="Iterations"/>
    <tableColumn id="4" xr3:uid="{CC01FEA3-F6AA-4020-95E6-191056F97BF5}" name="Total Cost" dataDxfId="232" dataCellStyle="Currency">
      <calculatedColumnFormula>Table58[[#This Row],[Iterations]]*Table58[[#This Row],[Unit Cost/EA/SF]]*Table58[[#This Row],[Square Feet/Each]]</calculatedColumnFormula>
    </tableColumn>
  </tableColumns>
  <tableStyleInfo name="TableStyleLight11"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FEB9651-AF70-4085-8EF2-4884480B2D9D}" name="Table60" displayName="Table60" ref="B35:D43" totalsRowShown="0" headerRowDxfId="231">
  <autoFilter ref="B35:D43" xr:uid="{0FEB9651-AF70-4085-8EF2-4884480B2D9D}"/>
  <tableColumns count="3">
    <tableColumn id="1" xr3:uid="{2FDE57D9-B45F-4005-B7FE-4991B881D49C}" name="Parameter" dataDxfId="230"/>
    <tableColumn id="2" xr3:uid="{B82366DD-8FF3-4797-B3A7-A2F7C7CB0236}" name="Value"/>
    <tableColumn id="3" xr3:uid="{27514010-89F6-4558-ABED-6FF6DE314E4E}" name="Unit" dataDxfId="229"/>
  </tableColumns>
  <tableStyleInfo name="TableStyleLight11"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1F1CAC96-2BBC-4FD3-9B85-9B23855D2FE8}" name="Table5757" displayName="Table5757" ref="B47:F53" totalsRowShown="0" headerRowDxfId="228">
  <autoFilter ref="B47:F53" xr:uid="{1F1CAC96-2BBC-4FD3-9B85-9B23855D2FE8}"/>
  <tableColumns count="5">
    <tableColumn id="1" xr3:uid="{A25B4DBD-A8B6-4AAA-B94E-D2CB75F2BB3B}" name="Cost Type"/>
    <tableColumn id="2" xr3:uid="{AFD01E23-CE4E-4D84-9459-F59A5515954D}" name="Square Feet/Each"/>
    <tableColumn id="3" xr3:uid="{5CD9B0BD-B8F0-46ED-984C-BF59C7E18210}" name="Unit Cost/EA/SF"/>
    <tableColumn id="5" xr3:uid="{5B6AD92C-9D30-45E2-A67B-40578E0E26A7}" name="Iterations"/>
    <tableColumn id="4" xr3:uid="{F649AE10-83DF-4BB4-A013-53A344182354}" name="Total Cost" dataDxfId="227">
      <calculatedColumnFormula>Table5757[[#This Row],[Iterations]]*Table5757[[#This Row],[Unit Cost/EA/SF]]*Table5757[[#This Row],[Square Feet/Each]]</calculatedColumnFormula>
    </tableColumn>
  </tableColumns>
  <tableStyleInfo name="TableStyleLight11"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24F78AAE-8E38-4AAA-8B9C-3496000E98A7}" name="Table5775" displayName="Table5775" ref="B57:F65" totalsRowShown="0" headerRowDxfId="226">
  <autoFilter ref="B57:F65" xr:uid="{24F78AAE-8E38-4AAA-8B9C-3496000E98A7}"/>
  <tableColumns count="5">
    <tableColumn id="1" xr3:uid="{4ADB1DCD-64A9-48A5-9B0F-126F6637B1E1}" name="Cost Type"/>
    <tableColumn id="2" xr3:uid="{443D9FF7-8808-4B30-96F1-47BE061A5F90}" name="Square Feet/Each"/>
    <tableColumn id="3" xr3:uid="{AA4DA512-0CD9-422D-99A8-80ACE40D4DFA}" name="Unit Cost/EA/SF"/>
    <tableColumn id="5" xr3:uid="{B12290EE-C43F-4BCC-84F2-BD2C2430E3C5}" name="Iterations"/>
    <tableColumn id="4" xr3:uid="{8CE65474-591D-4C06-99A2-94F56C85EF4D}" name="Total Cost" dataDxfId="225">
      <calculatedColumnFormula>Table5775[[#This Row],[Iterations]]*Table5775[[#This Row],[Unit Cost/EA/SF]]*Table5775[[#This Row],[Square Feet/Each]]</calculatedColumnFormula>
    </tableColumn>
  </tableColumns>
  <tableStyleInfo name="TableStyleLight11"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F7E3A2A2-F6AA-428D-AEB4-88B2D78FC864}" name="Table5779" displayName="Table5779" ref="B70:F76" totalsRowShown="0" headerRowDxfId="224">
  <autoFilter ref="B70:F76" xr:uid="{F7E3A2A2-F6AA-428D-AEB4-88B2D78FC864}"/>
  <tableColumns count="5">
    <tableColumn id="1" xr3:uid="{99666EAB-AB58-4B61-BB88-C61E037B9668}" name="Cost Type"/>
    <tableColumn id="2" xr3:uid="{5CC859A5-735A-4A38-8656-EA8C83A76B87}" name="Square Feet/Each"/>
    <tableColumn id="3" xr3:uid="{1347968E-D8B4-4A44-8AED-FB1F43776373}" name="Unit Cost/EA/SF" dataDxfId="223">
      <calculatedColumnFormula>6510000+6700000</calculatedColumnFormula>
    </tableColumn>
    <tableColumn id="5" xr3:uid="{8F188EA1-A58B-401D-9188-B8EAF4AAF636}" name="Iterations"/>
    <tableColumn id="4" xr3:uid="{133C652E-9E0C-4974-B173-6AD71640FBB5}" name="Total Cost" dataDxfId="222">
      <calculatedColumnFormula>Table5779[[#This Row],[Iterations]]*Table5779[[#This Row],[Unit Cost/EA/SF]]*Table5779[[#This Row],[Square Feet/Each]]</calculatedColumnFormula>
    </tableColumn>
  </tableColumns>
  <tableStyleInfo name="TableStyleLight11"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73CF49E0-55E4-4525-BD26-96383D5BE10E}" name="Table4.1_ForegoneSummary63" displayName="Table4.1_ForegoneSummary63" ref="C10:G13" totalsRowCount="1" headerRowDxfId="221" dataDxfId="220" totalsRowDxfId="219">
  <autoFilter ref="C10:G12" xr:uid="{2ADFAD65-B55C-47B6-A1CF-585E93EA59AE}"/>
  <tableColumns count="5">
    <tableColumn id="1" xr3:uid="{3353D8E1-CB1A-4F58-8788-01FC20126630}" name="Facility Type" totalsRowLabel="Total" dataDxfId="218" totalsRowDxfId="217"/>
    <tableColumn id="2" xr3:uid="{62FCAB55-242E-437E-A3A5-E0A73D63061C}" name="Annual Ridership" totalsRowFunction="sum" dataDxfId="216" totalsRowDxfId="215" dataCellStyle="Currency" totalsRowCellStyle="Comma"/>
    <tableColumn id="3" xr3:uid="{F2CEDECF-E1B3-4A93-AABC-BAE493D7DB43}" name="Annual Benefit" totalsRowFunction="sum" dataDxfId="214" totalsRowDxfId="213"/>
    <tableColumn id="5" xr3:uid="{2E47CC59-253A-4699-9352-2D2A70AB0D82}" name="30-Year Total" totalsRowFunction="sum" dataDxfId="212" totalsRowDxfId="211"/>
    <tableColumn id="4" xr3:uid="{94118848-A9D7-471C-8A1B-CFF2CA169F98}" name="Notes" dataDxfId="210" totalsRowDxfId="209"/>
  </tableColumns>
  <tableStyleInfo name="TableStyleLight14"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522AF2D9-9072-4F42-8AF3-421644FAF8DA}" name="Table63" displayName="Table63" ref="A14:I24" totalsRowShown="0" headerRowDxfId="208" tableBorderDxfId="207" dataCellStyle="Input">
  <autoFilter ref="A14:I24" xr:uid="{522AF2D9-9072-4F42-8AF3-421644FAF8DA}"/>
  <tableColumns count="9">
    <tableColumn id="1" xr3:uid="{E2F7A525-FA3A-47EF-BDF9-0C623582C4EF}" name="Stop ID" dataCellStyle="Input"/>
    <tableColumn id="2" xr3:uid="{F2EAE492-8467-4B57-81AA-172EB8BB3D48}" name="Name" dataCellStyle="Input"/>
    <tableColumn id="3" xr3:uid="{12757F4A-325F-429D-970C-14A3AB8275B2}" name="Daily Ridership on" dataDxfId="206" dataCellStyle="Input"/>
    <tableColumn id="4" xr3:uid="{CA18E81D-87EA-43D9-A0B6-F02CA3527F7B}" name="Daily Ridership off" dataDxfId="205" dataCellStyle="Input"/>
    <tableColumn id="5" xr3:uid="{4B7A6E3E-D394-4724-8A4F-DF381A2D79B9}" name="Latitude" dataCellStyle="Input"/>
    <tableColumn id="6" xr3:uid="{C0C575BD-9777-42DA-9B0B-60F2AAE79CA8}" name="Longitude" dataCellStyle="Input"/>
    <tableColumn id="7" xr3:uid="{3D7752A6-9B12-49BA-924A-E2E7F9F95B72}" name="Shelter and Pad" dataDxfId="204" dataCellStyle="Input"/>
    <tableColumn id="8" xr3:uid="{F4146A1E-87B6-45A1-8A89-94DF6DA1175C}" name="Seating" dataDxfId="203" dataCellStyle="Input"/>
    <tableColumn id="9" xr3:uid="{EF421331-D655-4DC2-AC0B-D18048DD18A2}" name="Notes" dataCellStyle="Input"/>
  </tableColumns>
  <tableStyleInfo name="TableStyleLight1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30F42411-AEAC-49A3-8185-2002C93A5D23}" name="Table1.5_SafetySummary" displayName="Table1.5_SafetySummary" ref="B129:H130" totalsRowShown="0" headerRowDxfId="788" dataDxfId="787">
  <autoFilter ref="B129:H130" xr:uid="{30F42411-AEAC-49A3-8185-2002C93A5D23}"/>
  <tableColumns count="7">
    <tableColumn id="1" xr3:uid="{D37A979C-4006-4B82-B3F9-E9B193205FA0}" name="Total Crashs" dataDxfId="786" dataCellStyle="Comma">
      <calculatedColumnFormula>SUM(Table1.3_Safety35152[[#Totals],[Column1]],Table1.3_Safety3515253[[#Totals],[Total Crashes]],Table1.3_Safety351525355[[#Totals],[Total Crashes]],Table1.3_Safety351[[#Totals],[Column1]],Table1.3_Safety3[[#Totals],[Column1]],Table1.2_Safety2[[#Totals],[Column1]],Table1.1_Safety1[[#Totals],[Column1]])</calculatedColumnFormula>
    </tableColumn>
    <tableColumn id="2" xr3:uid="{FFF61359-02D2-4012-9C37-C94D3726091F}" name="Column2" dataDxfId="785" dataCellStyle="Comma"/>
    <tableColumn id="3" xr3:uid="{E5CAF3EF-630A-432B-B6CA-954365ABB0B0}" name="Number of Crashes per Year" dataDxfId="784" dataCellStyle="Comma">
      <calculatedColumnFormula>SUM(#REF!,#REF!,Table1.3_Safety3515253[[#Totals],[Number of Crashes per Year]],Table1.3_Safety351525355[[#Totals],[Number of Crashes per Year]],#REF!,#REF!,Table1.1_Safety1[[#Totals],[No-Build Predicted Crashes]])</calculatedColumnFormula>
    </tableColumn>
    <tableColumn id="4" xr3:uid="{BD876CC9-BE0A-4DCC-9582-2DF8BFDAE5D2}" name="Crash Reduction Factor" dataDxfId="783" dataCellStyle="Comma">
      <calculatedColumnFormula>Table1.5_SafetySummary[[#This Row],[Predicted Annual Crash Reduction]]/Table1.5_SafetySummary[[#This Row],[Number of Crashes per Year]]</calculatedColumnFormula>
    </tableColumn>
    <tableColumn id="5" xr3:uid="{EFA21919-42A2-4118-AC42-EF653A15AD9A}" name="Predicted Annual Crash Reduction" dataDxfId="782" dataCellStyle="Comma">
      <calculatedColumnFormula>SUM(Table1.3_Safety351525355[[#Totals],[Predicted Annual Crash Reduction]],Table1.3_Safety3515253[[#Totals],[Predicted Annual Crash Reduction]],#REF!,#REF!,#REF!,#REF!,Table1.1_Safety1[[#Totals],[Predicted Annual Crash Reduction]])</calculatedColumnFormula>
    </tableColumn>
    <tableColumn id="6" xr3:uid="{FB420C11-371B-42C4-ADB8-B5B17B522659}" name="Annual Savings" dataDxfId="781" dataCellStyle="Currency">
      <calculatedColumnFormula>SUM(Table1.3_Safety351525355[[#Totals],[Annual Savings]],Table1.3_Safety3515253[[#Totals],[Annual Savings]],Table1.3_Safety35152[[#Totals],[Annual Savings]],Table1.3_Safety351[[#Totals],[Annual Savings]],Table1.3_Safety3[[#Totals],[Annual Savings]],Table1.2_Safety2[[#Totals],[Annual Savings]],Table1.1_Safety1[[#Totals],[Annual Savings]])</calculatedColumnFormula>
    </tableColumn>
    <tableColumn id="7" xr3:uid="{DF42433E-BE6F-4666-B0D8-42A1E693F08B}" name="30-Year Total" dataDxfId="780" dataCellStyle="Comma">
      <calculatedColumnFormula>Table1B1_SafetyBackup[[#Totals],[Realized Safety Benefit ($/Year)]]</calculatedColumnFormula>
    </tableColumn>
  </tableColumns>
  <tableStyleInfo name="TableStyleLight14"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CB746984-24EB-4F28-B246-33AF02FF12E5}" name="Table4.1_ForegoneSummary84" displayName="Table4.1_ForegoneSummary84" ref="B10:F16" totalsRowCount="1" headerRowDxfId="202">
  <tableColumns count="5">
    <tableColumn id="1" xr3:uid="{6E30F600-CC37-4607-B1D3-365C4957C6B7}" name="Property" totalsRowLabel="Total" dataDxfId="201" totalsRowDxfId="200"/>
    <tableColumn id="2" xr3:uid="{47899A6A-8E9A-4FF7-BCCA-99B46B743634}" name="Last Sale Date" totalsRowFunction="sum" dataDxfId="199" totalsRowDxfId="198" dataCellStyle="Currency"/>
    <tableColumn id="5" xr3:uid="{82FC73CC-A061-4186-9BB4-67A71CC56AD6}" name="Assessed Land Value" dataDxfId="197" totalsRowDxfId="196" dataCellStyle="Currency"/>
    <tableColumn id="4" xr3:uid="{7D7BE905-F5D4-4A1B-92E7-30948A21EC6B}" name="Acres" dataDxfId="195" totalsRowDxfId="194" dataCellStyle="Currency"/>
    <tableColumn id="3" xr3:uid="{B8F7E2A1-72EA-47DF-A88D-252FE8F3299B}" name="Land Value Per Acre" totalsRowFunction="sum" dataDxfId="193" totalsRowDxfId="192" dataCellStyle="Currency"/>
  </tableColumns>
  <tableStyleInfo name="TableStyleLight14"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444A627C-1DA8-4F68-953E-2362DDB93618}" name="Table4.1_ForegoneSummary6365" displayName="Table4.1_ForegoneSummary6365" ref="B10:F14" totalsRowCount="1" headerRowDxfId="191" dataDxfId="190" totalsRowDxfId="189">
  <autoFilter ref="B10:F13" xr:uid="{2ADFAD65-B55C-47B6-A1CF-585E93EA59AE}"/>
  <tableColumns count="5">
    <tableColumn id="1" xr3:uid="{7ED2F802-5B22-46CA-9106-D66F6F2CF19E}" name="Improvement" totalsRowLabel="Total" dataDxfId="188" totalsRowDxfId="187"/>
    <tableColumn id="2" xr3:uid="{16A4569F-C1A2-4173-99B9-7E6CB7431D54}" name="Annual Users Affected" totalsRowFunction="sum" dataDxfId="186" totalsRowDxfId="185" dataCellStyle="Comma"/>
    <tableColumn id="3" xr3:uid="{BA9F0BE9-078B-424A-AB7A-2985C5D861A0}" name="Annual Benefit" totalsRowFunction="sum" dataDxfId="184" totalsRowDxfId="183"/>
    <tableColumn id="5" xr3:uid="{9EE4EC90-3FD2-4BF0-8EF6-9E21C280B08E}" name="30-Year Total" totalsRowFunction="sum" dataDxfId="182" totalsRowDxfId="181"/>
    <tableColumn id="4" xr3:uid="{DE629B74-049F-40D7-9296-096810C2246F}" name="Notes" dataDxfId="180" totalsRowDxfId="179"/>
  </tableColumns>
  <tableStyleInfo name="TableStyleLight14"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E31E1284-3360-4CAD-85ED-192C4CA6B877}" name="Table65" displayName="Table65" ref="B13:F15" totalsRowCount="1" headerRowDxfId="178" dataDxfId="177">
  <autoFilter ref="B13:F14" xr:uid="{E31E1284-3360-4CAD-85ED-192C4CA6B877}"/>
  <tableColumns count="5">
    <tableColumn id="1" xr3:uid="{73CA8128-0E99-413D-A41A-320A2E7B5845}" name="Improvement Type - Sidewalk Improvements" totalsRowLabel="Total Per Year" dataDxfId="176" totalsRowDxfId="175">
      <calculatedColumnFormula>'Appendix A. Parameter Values'!B83</calculatedColumnFormula>
    </tableColumn>
    <tableColumn id="3" xr3:uid="{F17BC1F9-24E6-48FC-A1E7-5C92AC335FC6}" name="Additional Sidewalk Width (ft)" totalsRowDxfId="174" dataCellStyle="Input"/>
    <tableColumn id="5" xr3:uid="{6846049E-E4D4-4943-A89E-D628324AAFA9}" name="Sidewalk Length Widened (mi)" totalsRowDxfId="173" dataCellStyle="Input"/>
    <tableColumn id="6" xr3:uid="{F2EC6939-27BA-49A0-9639-C89EF7CA4B23}" name="# Daily Users" totalsRowFunction="custom" totalsRowDxfId="172" dataCellStyle="Input" totalsRowCellStyle="Comma">
      <calculatedColumnFormula>(10/0.1)*2</calculatedColumnFormula>
      <totalsRowFormula>SUBTOTAL(109,Table65['# Daily Users])*365</totalsRowFormula>
    </tableColumn>
    <tableColumn id="7" xr3:uid="{24C16B08-AF78-4BA8-B736-3BC573D62669}" name="Benefit per Mile Walked per Day" totalsRowFunction="custom" dataDxfId="171" totalsRowDxfId="170" dataCellStyle="Input">
      <calculatedColumnFormula>Table65[[#This Row],[Additional Sidewalk Width (ft)]]*Table65[[#This Row],[Sidewalk Length Widened (mi)]]*Table65[[#This Row],['# Daily Users]]*'Appendix A. Parameter Values'!C83</calculatedColumnFormula>
      <totalsRowFormula>SUBTOTAL(109,Table65[Benefit per Mile Walked per Day])*365</totalsRowFormula>
    </tableColumn>
  </tableColumns>
  <tableStyleInfo name="TableStyleLight11"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1D9BACC8-2F7C-40D5-803E-E78C28B5A0F4}" name="Table66" displayName="Table66" ref="B19:E22" totalsRowCount="1" headerRowDxfId="169" dataDxfId="168">
  <autoFilter ref="B19:E21" xr:uid="{1D9BACC8-2F7C-40D5-803E-E78C28B5A0F4}"/>
  <tableColumns count="4">
    <tableColumn id="1" xr3:uid="{E5642189-B504-4280-BEB8-CE995958235E}" name="Improvement Type - At-Grade Crossing Improvements for Existing Users" totalsRowLabel="Total Per Year" dataDxfId="167" totalsRowDxfId="166">
      <calculatedColumnFormula>'Appendix A. Parameter Values'!B87</calculatedColumnFormula>
    </tableColumn>
    <tableColumn id="2" xr3:uid="{9014910E-8927-4C88-B4C0-E64D1183574D}" name="Value per Use" dataDxfId="165" totalsRowDxfId="164">
      <calculatedColumnFormula>'Appendix A. Parameter Values'!C87</calculatedColumnFormula>
    </tableColumn>
    <tableColumn id="3" xr3:uid="{A9939923-1C3C-4826-BFE2-C67799B22125}" name="# Existing Daily Users" totalsRowFunction="custom" dataCellStyle="Input">
      <calculatedColumnFormula>'9. Ped &amp; Cyclist Count Backup'!D14+'9. Ped &amp; Cyclist Count Backup'!D15</calculatedColumnFormula>
      <totalsRowFormula>SUBTOTAL(109,Table66['# Existing Daily Users])*365</totalsRowFormula>
    </tableColumn>
    <tableColumn id="4" xr3:uid="{8628B35B-5C3C-4FDB-9646-9F586E902028}" name="Benefit per Signalized Pedestrian Crossing Use per Day" totalsRowFunction="custom" totalsRowDxfId="163" dataCellStyle="Input">
      <calculatedColumnFormula>C20*D20</calculatedColumnFormula>
      <totalsRowFormula>SUBTOTAL(109,Table66[Benefit per Signalized Pedestrian Crossing Use per Day])*365</totalsRowFormula>
    </tableColumn>
  </tableColumns>
  <tableStyleInfo name="TableStyleLight11"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E4107C3A-9830-4DF9-9E12-8DB04236AA90}" name="Table67" displayName="Table67" ref="B26:E29" totalsRowCount="1" headerRowDxfId="162" dataDxfId="161">
  <autoFilter ref="B26:E28" xr:uid="{E4107C3A-9830-4DF9-9E12-8DB04236AA90}"/>
  <tableColumns count="4">
    <tableColumn id="1" xr3:uid="{87AE5326-BACB-476F-8C90-EB5C60835B0D}" name="Improvement Type - At-Grade Crossing Improvements for Additional Users" totalsRowLabel="Total Per Year" dataDxfId="160" totalsRowDxfId="159">
      <calculatedColumnFormula>'Appendix A. Parameter Values'!B87</calculatedColumnFormula>
    </tableColumn>
    <tableColumn id="2" xr3:uid="{002C8264-A0E8-4EC1-833F-4529C26ED6BE}" name="Value per Use" dataDxfId="158" totalsRowDxfId="157">
      <calculatedColumnFormula>'Appendix A. Parameter Values'!C87</calculatedColumnFormula>
    </tableColumn>
    <tableColumn id="3" xr3:uid="{00FD9E85-99F2-47B1-854C-A7E841A3DDE3}" name="# Additional  Daily Users" totalsRowFunction="custom" dataDxfId="156" totalsRowDxfId="155" dataCellStyle="Input">
      <totalsRowFormula>SUBTOTAL(109,Table67['# Additional  Daily Users])*365</totalsRowFormula>
    </tableColumn>
    <tableColumn id="4" xr3:uid="{371DE4A1-0E82-4F3E-BBE1-E04DF8B0501A}" name="Benefit per Signalized Pedestrian Crossing Use per Day" totalsRowFunction="custom" dataDxfId="154" totalsRowDxfId="153" dataCellStyle="Input">
      <calculatedColumnFormula>C27*D27</calculatedColumnFormula>
      <totalsRowFormula>SUBTOTAL(109,Table67[Benefit per Signalized Pedestrian Crossing Use per Day])*365</totalsRowFormula>
    </tableColumn>
  </tableColumns>
  <tableStyleInfo name="TableStyleLight11"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809615E8-D3BC-4A96-8034-4DD2CB7E6F2C}" name="Table68" displayName="Table68" ref="B15:H19" totalsRowCount="1" headerRowDxfId="152" dataDxfId="151" totalsRowDxfId="150">
  <autoFilter ref="B15:H18" xr:uid="{809615E8-D3BC-4A96-8034-4DD2CB7E6F2C}"/>
  <tableColumns count="7">
    <tableColumn id="1" xr3:uid="{7922FE64-E985-4C52-9177-AB407BF24E69}" name="Improvement Type" totalsRowLabel="Total" dataDxfId="149" totalsRowDxfId="148"/>
    <tableColumn id="2" xr3:uid="{7148F42B-BF2E-442D-87C0-5EEFA11A75B5}" name="Segment " dataDxfId="147" totalsRowDxfId="146"/>
    <tableColumn id="3" xr3:uid="{2CB6E524-704A-48ED-B878-0CD12C86179D}" name="Segment Length (mi)" totalsRowFunction="sum" dataDxfId="145" totalsRowDxfId="144"/>
    <tableColumn id="4" xr3:uid="{ABDFF63A-C835-42CA-96CB-60137BCE6CB4}" name="# of Existing Cyclists" totalsRowFunction="sum" dataDxfId="143" totalsRowDxfId="142"/>
    <tableColumn id="5" xr3:uid="{D374FBE8-0C4F-48C7-A4FA-3CE029AE61DD}" name="Value per Cycling Mile" totalsRowFunction="custom" dataDxfId="141" totalsRowDxfId="140">
      <totalsRowFormula>SUMPRODUCT(Table68['# of Existing Cyclists],Table68[Value per Cycling Mile])/Table68[[#Totals],['# of Existing Cyclists]]</totalsRowFormula>
    </tableColumn>
    <tableColumn id="6" xr3:uid="{6652758E-509F-4AE9-8C5D-1AEC834E7235}" name="Benefits to Existing Users Daily" totalsRowFunction="sum" dataDxfId="139" totalsRowDxfId="138">
      <calculatedColumnFormula>Table69[[#This Row],[Segment Length (mi)]]*Table69[[#This Row],['# of Induced  Cyclists]]*Table69[[#This Row],[Value per Cycling Mile]]</calculatedColumnFormula>
    </tableColumn>
    <tableColumn id="7" xr3:uid="{573074CE-0EC6-411E-8199-6EC5BBD0ABE3}" name="Annual Benefits " totalsRowFunction="sum" dataDxfId="137" totalsRowDxfId="136">
      <calculatedColumnFormula>Table69[[#This Row],[Benefits to Additional Users Daily]]*365</calculatedColumnFormula>
    </tableColumn>
  </tableColumns>
  <tableStyleInfo name="TableStyleLight9"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47C7D4B4-63CE-4F6D-820F-21C58FE0E847}" name="Table69" displayName="Table69" ref="B23:H27" totalsRowCount="1" headerRowDxfId="135" dataDxfId="134" totalsRowDxfId="133">
  <autoFilter ref="B23:H26" xr:uid="{47C7D4B4-63CE-4F6D-820F-21C58FE0E847}"/>
  <tableColumns count="7">
    <tableColumn id="1" xr3:uid="{5C1FAA26-422B-4251-8EBC-698E63BA4C2F}" name="Improvement Type" totalsRowLabel="Total" dataDxfId="132" totalsRowDxfId="131"/>
    <tableColumn id="2" xr3:uid="{9337274D-FDC3-4CEA-BD5F-292162EA36EA}" name="Segment" dataDxfId="130" totalsRowDxfId="129"/>
    <tableColumn id="3" xr3:uid="{EE1D65FD-CE81-4061-80FA-758CBAB70ED5}" name="Segment Length (mi)" totalsRowFunction="sum" dataDxfId="128" totalsRowDxfId="127"/>
    <tableColumn id="4" xr3:uid="{49809B5A-A6F9-481A-811C-FC746D86C0A9}" name="# of Induced  Cyclists" totalsRowFunction="sum" dataDxfId="126" totalsRowDxfId="125"/>
    <tableColumn id="5" xr3:uid="{5FBCC928-37B7-4353-AD8C-1F1012B03EED}" name="Value per Cycling Mile" totalsRowFunction="custom" dataDxfId="124" totalsRowDxfId="123">
      <totalsRowFormula>SUMPRODUCT(Table69['# of Induced  Cyclists],Table69[Value per Cycling Mile])/Table69[[#Totals],['# of Induced  Cyclists]]</totalsRowFormula>
    </tableColumn>
    <tableColumn id="6" xr3:uid="{124D853D-9F9B-4599-85E5-A45FF1FB948D}" name="Benefits to Additional Users Daily" totalsRowFunction="sum" dataDxfId="122" totalsRowDxfId="121"/>
    <tableColumn id="7" xr3:uid="{A7F192CE-AF98-42C9-858B-7939C73B45B5}" name="Annual Benefits" totalsRowFunction="sum" dataDxfId="120" totalsRowDxfId="119"/>
  </tableColumns>
  <tableStyleInfo name="TableStyleLight9"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97ADCD25-E8C7-40B6-8E5C-8397706E39A8}" name="Table70" displayName="Table70" ref="B31:I34" totalsRowCount="1" headerRowDxfId="118" dataDxfId="117" totalsRowDxfId="116">
  <autoFilter ref="B31:I33" xr:uid="{97ADCD25-E8C7-40B6-8E5C-8397706E39A8}"/>
  <tableColumns count="8">
    <tableColumn id="1" xr3:uid="{703B7E60-D6D9-4913-9DEC-0880863977F5}" name="User Type" totalsRowLabel="Total" dataDxfId="115" totalsRowDxfId="114"/>
    <tableColumn id="2" xr3:uid="{712E10F5-110C-4286-AA08-FAD5D1C09BB8}" name="Segment" dataDxfId="113" totalsRowDxfId="112"/>
    <tableColumn id="3" xr3:uid="{C9098159-AE48-4656-A88C-AA1A03CCB5CF}" name="Segment Length (mi)" dataDxfId="111" totalsRowDxfId="110">
      <calculatedColumnFormula>Table69[[#Totals],[Segment Length (mi)]]</calculatedColumnFormula>
    </tableColumn>
    <tableColumn id="4" xr3:uid="{F00E05C4-BE94-4294-8129-3DE6EF0278EB}" name="# of Induced  Cyclists" dataDxfId="109" totalsRowDxfId="108">
      <calculatedColumnFormula>Table68[[#Totals],['# of Existing Cyclists]]</calculatedColumnFormula>
    </tableColumn>
    <tableColumn id="5" xr3:uid="{3E18B84F-AE6B-4F71-975B-32551DC249F7}" name="Value per Cycling Mile" dataDxfId="107" totalsRowDxfId="106">
      <calculatedColumnFormula>Table68[[#Totals],[Value per Cycling Mile]]</calculatedColumnFormula>
    </tableColumn>
    <tableColumn id="6" xr3:uid="{613038CA-A240-43A9-B59B-D7E49605C179}" name="Benefits to Existing Users Daily" dataDxfId="105" totalsRowDxfId="104">
      <calculatedColumnFormula>Table68[[#Totals],[Benefits to Existing Users Daily]]</calculatedColumnFormula>
    </tableColumn>
    <tableColumn id="7" xr3:uid="{A1368548-FC48-4AFB-B3A6-C70FF6C3B142}" name="Annual Benefits" totalsRowFunction="sum" dataDxfId="103" totalsRowDxfId="102"/>
    <tableColumn id="8" xr3:uid="{0F1EB6A0-BE4A-4361-A21C-894A555CF717}" name="30-Year Total" totalsRowFunction="sum" dataDxfId="101" totalsRowDxfId="100">
      <calculatedColumnFormula>Table70[[#This Row],[Annual Benefits]]*30</calculatedColumnFormula>
    </tableColumn>
  </tableColumns>
  <tableStyleInfo name="TableStyleLight14"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17D5D5C6-8C5C-4E28-BC46-06216B8E0592}" name="Table71" displayName="Table71" ref="A13:I16" totalsRowCount="1" headerRowDxfId="99" headerRowCellStyle="Percent">
  <autoFilter ref="A13:I15" xr:uid="{17D5D5C6-8C5C-4E28-BC46-06216B8E0592}"/>
  <tableColumns count="9">
    <tableColumn id="1" xr3:uid="{0380E31F-6856-4720-9EDD-30A1DFFB7E0D}" name="Mortality Reduction Benefits" totalsRowLabel="Total"/>
    <tableColumn id="2" xr3:uid="{8C3E2240-4477-4209-A0AD-B4F19CCCD04F}" name="# Induced Trips" dataDxfId="98" totalsRowDxfId="97"/>
    <tableColumn id="3" xr3:uid="{1CD016AD-F4D1-442B-A023-F3D060A22C8A}" name="% in Age Range" dataDxfId="96" totalsRowDxfId="95" dataCellStyle="Percent"/>
    <tableColumn id="4" xr3:uid="{ED2DB124-54EC-4426-BA19-B83E4492FA30}" name="% from Non-AT Modes" dataDxfId="94" totalsRowDxfId="93" dataCellStyle="Percent"/>
    <tableColumn id="5" xr3:uid="{C83464F5-37B2-41DE-868A-91BCE7C7632F}" name="# Induced Trips Meeting Criteria" dataDxfId="92"/>
    <tableColumn id="6" xr3:uid="{85AAADFD-7B7B-410A-BE36-C00547512EF8}" name="Value per Induced Trip" dataDxfId="91">
      <calculatedColumnFormula>'Appendix A. Parameter Values'!C101</calculatedColumnFormula>
    </tableColumn>
    <tableColumn id="7" xr3:uid="{5BC768F0-BCE3-4B00-B59C-1AF809C3DFE8}" name="Benefits to Induced Users Daily" totalsRowFunction="sum" dataDxfId="90" totalsRowDxfId="89">
      <calculatedColumnFormula>E14*F14</calculatedColumnFormula>
    </tableColumn>
    <tableColumn id="8" xr3:uid="{405D5BE6-946B-48EB-934F-A0FF89CA358B}" name="Annual Benefit" totalsRowFunction="sum" dataDxfId="88" totalsRowDxfId="87">
      <calculatedColumnFormula>Table71[[#This Row],[Benefits to Induced Users Daily]]*365</calculatedColumnFormula>
    </tableColumn>
    <tableColumn id="9" xr3:uid="{65E34006-2C9D-49AF-AD63-0A3429C369A3}" name="30-Year Total" totalsRowFunction="sum" dataDxfId="86" totalsRowDxfId="85">
      <calculatedColumnFormula>Table71[[#This Row],[Annual Benefit]]*30</calculatedColumnFormula>
    </tableColumn>
  </tableColumns>
  <tableStyleInfo name="TableStyleLight14"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82BE5BC9-D265-4E37-A207-7AE6575E8CA9}" name="Table46" displayName="Table46" ref="B14:G22" totalsRowCount="1" headerRowDxfId="84" dataDxfId="83" totalsRowDxfId="82">
  <autoFilter ref="B14:G21" xr:uid="{82BE5BC9-D265-4E37-A207-7AE6575E8CA9}"/>
  <tableColumns count="6">
    <tableColumn id="1" xr3:uid="{B831F7C0-15D2-45CF-84D5-3AA717EA7A82}" name="Phase" totalsRowLabel="Total" dataDxfId="81" totalsRowDxfId="80"/>
    <tableColumn id="6" xr3:uid="{F3CC7709-99D1-41DF-B6E3-3C8A3D9A9BF0}" name="Task" dataDxfId="79" totalsRowDxfId="78"/>
    <tableColumn id="2" xr3:uid="{D52DD54D-0CAC-4ADB-8C62-899271055F20}" name="Federal Fiscal Year (FFY)" dataDxfId="77" totalsRowDxfId="76"/>
    <tableColumn id="3" xr3:uid="{30645AEC-391A-4606-AA5F-BB4D4012DEE4}" name="Expected Cost ($)" totalsRowFunction="sum" dataDxfId="75" totalsRowDxfId="74" dataCellStyle="Currency"/>
    <tableColumn id="4" xr3:uid="{13628CF5-6910-4BBF-BC83-098FC52190DC}" name="Contingency _x000a_($)" totalsRowFunction="sum" dataDxfId="73" totalsRowDxfId="72" dataCellStyle="Currency"/>
    <tableColumn id="5" xr3:uid="{36EAAFC4-E939-4E59-8FAE-45F38958245E}" name="Total _x000a_($)" totalsRowFunction="sum" dataDxfId="71" totalsRowDxfId="70" dataCellStyle="Currency">
      <calculatedColumnFormula>SUM(Table46[[#This Row],[Expected Cost ($)]:[Contingency 
($)]])</calculatedColumnFormula>
    </tableColumn>
  </tableColumns>
  <tableStyleInfo name="TableStyleMedium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29083010-7A7E-4558-A0D4-2AC4A4CD4335}" name="Table1.3_Safety3515253" displayName="Table1.3_Safety3515253" ref="B97:H107" totalsRowCount="1" headerRowDxfId="779" totalsRowDxfId="778">
  <autoFilter ref="B97:H106" xr:uid="{29083010-7A7E-4558-A0D4-2AC4A4CD4335}"/>
  <tableColumns count="7">
    <tableColumn id="1" xr3:uid="{9F496309-21E1-4339-95E5-5337A0E3A5F9}" name="Crash Severity" totalsRowLabel="Total" dataDxfId="777" totalsRowDxfId="776"/>
    <tableColumn id="2" xr3:uid="{A75834A3-577E-4AE3-9982-7B97A3AF3081}" name="Total Crashes" totalsRowFunction="sum" dataDxfId="775" totalsRowDxfId="774" dataCellStyle="Input"/>
    <tableColumn id="3" xr3:uid="{499DF9A1-91DC-4F56-9F55-FF2122A4011A}" name="Number of Crashes per Year" totalsRowFunction="sum" dataDxfId="773" totalsRowDxfId="772" dataCellStyle="Comma">
      <calculatedColumnFormula>C98/7</calculatedColumnFormula>
    </tableColumn>
    <tableColumn id="4" xr3:uid="{8C489F3F-558D-4005-9A1E-FD3D957513C2}" name="Crash Reduction Factor" totalsRowFunction="average" dataDxfId="771" totalsRowDxfId="770" dataCellStyle="Input"/>
    <tableColumn id="5" xr3:uid="{6B4D8A22-0DC7-4AFD-A94B-05E27892FECF}" name="Predicted Annual Crash Reduction" totalsRowFunction="sum" dataDxfId="769" totalsRowDxfId="768" dataCellStyle="Comma">
      <calculatedColumnFormula>D98*E98</calculatedColumnFormula>
    </tableColumn>
    <tableColumn id="6" xr3:uid="{C7B01F71-3604-4634-A852-A867219545A6}" name="Value of Injuries" dataDxfId="767" totalsRowDxfId="766" dataCellStyle="Currency">
      <calculatedColumnFormula>VLOOKUP(Table1.3_Safety3515253[[#This Row],[Crash Severity]],TableA1_KABCO[],2,FALSE)</calculatedColumnFormula>
    </tableColumn>
    <tableColumn id="7" xr3:uid="{1F2C881A-F3C5-4A1A-86A3-671508002F7D}" name="Annual Savings" totalsRowFunction="sum" dataDxfId="765" totalsRowDxfId="764" dataCellStyle="Currency">
      <calculatedColumnFormula>G98*F98</calculatedColumnFormula>
    </tableColumn>
  </tableColumns>
  <tableStyleInfo name="TableStyleLight9"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BA2073D-ACDD-455E-8007-DD4B5EE90BCA}" name="Table1" displayName="Table1" ref="B26:F38" totalsRowCount="1" headerRowDxfId="69">
  <autoFilter ref="B26:F37" xr:uid="{4BA2073D-ACDD-455E-8007-DD4B5EE90BCA}"/>
  <tableColumns count="5">
    <tableColumn id="1" xr3:uid="{35884593-9A83-4AE3-B4F4-F64969018D85}" name="Item" totalsRowLabel="Subtotal--" dataDxfId="68" totalsRowDxfId="67"/>
    <tableColumn id="2" xr3:uid="{AE46B26E-E4FB-476A-9AB9-E956706B9E3F}" name="Quantity"/>
    <tableColumn id="3" xr3:uid="{FB48B60E-E969-474F-9789-98E51F223B98}" name="Units"/>
    <tableColumn id="4" xr3:uid="{A0FA14D7-AB66-4B4D-A2B0-8337AB8B4474}" name="Cost" dataCellStyle="Currency"/>
    <tableColumn id="5" xr3:uid="{DAC1A800-2634-4C06-B36A-BE7F1DA47FFA}" name="Tot" totalsRowFunction="sum" dataDxfId="66" totalsRowDxfId="65" dataCellStyle="Currency">
      <calculatedColumnFormula>Table1[[#This Row],[Cost]]*Table1[[#This Row],[Quantity]]</calculatedColumnFormula>
    </tableColumn>
  </tableColumns>
  <tableStyleInfo name="TableStyleLight8"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5B05A637-74F3-4964-899D-47CD712C3F4E}" name="Table156" displayName="Table156" ref="B43:F52" totalsRowCount="1" headerRowDxfId="64">
  <autoFilter ref="B43:F51" xr:uid="{5B05A637-74F3-4964-899D-47CD712C3F4E}"/>
  <tableColumns count="5">
    <tableColumn id="1" xr3:uid="{FDE1569E-827E-427D-81FD-792EEEA705C8}" name="Item" totalsRowLabel="Subtotal--" dataDxfId="63" totalsRowDxfId="62"/>
    <tableColumn id="2" xr3:uid="{25AE98DD-A48A-441E-8797-178B6E7AECEE}" name="Quantity"/>
    <tableColumn id="3" xr3:uid="{5C0F791A-4340-4D8E-88E9-E4B64830B51F}" name="Units"/>
    <tableColumn id="4" xr3:uid="{D118A949-79AC-4BAE-A9E5-4A9BDC32AFF8}" name="Cost" dataCellStyle="Currency"/>
    <tableColumn id="5" xr3:uid="{26CA04EE-CB74-49D0-A442-412939BA71C4}" name="Tot" totalsRowFunction="sum" dataDxfId="61" totalsRowDxfId="60" dataCellStyle="Currency">
      <calculatedColumnFormula>Table156[[#This Row],[Cost]]*Table156[[#This Row],[Quantity]]</calculatedColumnFormula>
    </tableColumn>
  </tableColumns>
  <tableStyleInfo name="TableStyleLight8"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F02EC2DD-5286-49EC-A28C-D30AE90DACDC}" name="Table15660" displayName="Table15660" ref="B57:F63" totalsRowCount="1" headerRowDxfId="59">
  <autoFilter ref="B57:F62" xr:uid="{F02EC2DD-5286-49EC-A28C-D30AE90DACDC}"/>
  <tableColumns count="5">
    <tableColumn id="1" xr3:uid="{58FA5589-FEF5-4CCB-9808-861DB23C02CE}" name="Item" totalsRowLabel="Subtotal--" dataDxfId="58" totalsRowDxfId="57"/>
    <tableColumn id="2" xr3:uid="{A86FABA8-E9B6-46F4-B1CE-711D648646FB}" name="Quantity"/>
    <tableColumn id="3" xr3:uid="{DCFEA1F9-8C73-4A6B-92BD-58E86B4DA820}" name="Units"/>
    <tableColumn id="4" xr3:uid="{7C5E276F-1C71-4E22-AA65-B939377D50AC}" name="Cost" dataCellStyle="Currency"/>
    <tableColumn id="5" xr3:uid="{2B2E92B7-ECF1-4B94-B9A8-F363253CAC31}" name="Tot" totalsRowFunction="sum" dataDxfId="56" totalsRowDxfId="55" dataCellStyle="Currency">
      <calculatedColumnFormula>Table15660[[#This Row],[Cost]]*Table15660[[#This Row],[Quantity]]</calculatedColumnFormula>
    </tableColumn>
  </tableColumns>
  <tableStyleInfo name="TableStyleLight8"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C4287CDE-99B7-4996-8C02-EB18FA59DB26}" name="Table1566073" displayName="Table1566073" ref="B68:G85" totalsRowCount="1" headerRowDxfId="54">
  <autoFilter ref="B68:G84" xr:uid="{C4287CDE-99B7-4996-8C02-EB18FA59DB26}"/>
  <tableColumns count="6">
    <tableColumn id="7" xr3:uid="{9415C10A-2F58-48BD-B1BD-35BBACD59C87}" name="Phase" dataDxfId="53"/>
    <tableColumn id="1" xr3:uid="{F11D346D-EB34-4EDC-9B95-79216D920DDB}" name="Item" totalsRowLabel="TOTAL--Future Eligible Project Costs" dataDxfId="52" totalsRowDxfId="51"/>
    <tableColumn id="2" xr3:uid="{9F9A36FE-151E-4E47-8F1B-31F001CCA0FC}" name="Percentage Share" dataDxfId="50" dataCellStyle="Percent">
      <calculatedColumnFormula>Table1566073[[#This Row],[Current-Year Dollars]]/SUM(Table1566073[Current-Year Dollars])</calculatedColumnFormula>
    </tableColumn>
    <tableColumn id="3" xr3:uid="{ADC6A381-8B73-49F5-8C68-8A536D8BB82C}" name="Current-Year Dollars" totalsRowFunction="custom" totalsRowDxfId="49" dataCellStyle="Currency">
      <totalsRowFormula>SUM(Table1566073[Current-Year Dollars])</totalsRowFormula>
    </tableColumn>
    <tableColumn id="4" xr3:uid="{CE59147D-1BA1-4139-9855-C2B1490A2593}" name="Project-Year Dollars _x000a_(Assume 2026 NTP)" totalsRowFunction="custom" totalsRowDxfId="48" dataCellStyle="Currency">
      <totalsRowFormula>SUM(Table1566073[Project-Year Dollars 
(Assume 2026 NTP)])</totalsRowFormula>
    </tableColumn>
    <tableColumn id="5" xr3:uid="{17223EDF-161A-42E2-AF9A-2558CF4EEB61}" name="SAY _x000a_(Final Estimate)" totalsRowFunction="sum" dataDxfId="47" totalsRowDxfId="46" dataCellStyle="Currency">
      <calculatedColumnFormula>ROUNDUP(Table1566073[[#This Row],[Project-Year Dollars 
(Assume 2026 NTP)]],-5)</calculatedColumnFormula>
    </tableColumn>
  </tableColumns>
  <tableStyleInfo name="TableStyleLight8"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53974896-3BE5-4217-A154-BD761043CF08}" name="Table5080" displayName="Table5080" ref="B16:G29" totalsRowCount="1" headerRowDxfId="45" dataDxfId="44">
  <autoFilter ref="B16:G28" xr:uid="{FFAF49F8-2A20-4FDC-ADFF-BEA00A077B2B}"/>
  <tableColumns count="6">
    <tableColumn id="1" xr3:uid="{032E3727-8383-4B1F-A3A8-9FC7A336BE30}" name="Bridge ID" totalsRowLabel="Total" dataDxfId="43" totalsRowDxfId="42"/>
    <tableColumn id="2" xr3:uid="{6B514C7B-1DFA-4F89-B0BC-FC2C6C0D750A}" name="Description / Task" dataDxfId="41" totalsRowDxfId="40"/>
    <tableColumn id="3" xr3:uid="{B6F5F715-2A10-459F-A24F-50032A6B2E7F}" name="Unit Cost" dataDxfId="39" totalsRowDxfId="38" dataCellStyle="Currency"/>
    <tableColumn id="4" xr3:uid="{AD210474-BBAD-40A1-A1BE-C9609FE5F8D7}" name="Iterations" dataDxfId="37" totalsRowDxfId="36" dataCellStyle="Currency"/>
    <tableColumn id="5" xr3:uid="{457EAF56-194A-48A9-8AEF-696F3E232A14}" name="30 Year Maintenance Cost" dataDxfId="35" totalsRowDxfId="34" dataCellStyle="Currency">
      <calculatedColumnFormula>5993951.76*1.3</calculatedColumnFormula>
    </tableColumn>
    <tableColumn id="6" xr3:uid="{3A732347-1571-4FCF-AFEA-5E03C9479836}" name="30-Year Cost _x000a_($)" totalsRowFunction="sum" dataDxfId="33" totalsRowDxfId="32" dataCellStyle="Currency">
      <calculatedColumnFormula>Table5080[[#This Row],[30 Year Maintenance Cost]]*Table5080[[#This Row],[Iterations]]</calculatedColumnFormula>
    </tableColumn>
  </tableColumns>
  <tableStyleInfo name="TableStyleMedium1"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F9AC7842-BF8E-4162-AE72-3B12A595EA84}" name="Table7281" displayName="Table7281" ref="B33:G39" totalsRowShown="0" headerRowDxfId="31" dataDxfId="30">
  <autoFilter ref="B33:G39" xr:uid="{714BA165-BED1-46C5-964F-7F96665A99DF}"/>
  <tableColumns count="6">
    <tableColumn id="1" xr3:uid="{D5062859-138C-4DE1-9FE2-B1C03BB563FD}" name="Bridge ID" dataDxfId="29"/>
    <tableColumn id="2" xr3:uid="{FA799634-94F5-46B5-9EB4-FB2AB1271B4B}" name="Description/Task" dataDxfId="28"/>
    <tableColumn id="3" xr3:uid="{E39B16D3-2070-4DF6-9497-CF05CFB65CA9}" name="Units/Square Yard/Each" dataDxfId="27"/>
    <tableColumn id="4" xr3:uid="{48810BE3-F345-4099-9522-1328554957ED}" name="Unit Cost/EA/SY" dataDxfId="26" dataCellStyle="Currency"/>
    <tableColumn id="5" xr3:uid="{86560066-2115-40EF-BD58-01D9E6A95C90}" name="Iterations" dataDxfId="25"/>
    <tableColumn id="6" xr3:uid="{F72DE266-F1E9-4D90-A344-ACA65E1A782E}" name="Total Cost" dataDxfId="24" dataCellStyle="Currency">
      <calculatedColumnFormula>Table7281[[#This Row],[Iterations]]*Table7281[[#This Row],[Unit Cost/EA/SY]]*Table7281[[#This Row],[Units/Square Yard/Each]]</calculatedColumnFormula>
    </tableColumn>
  </tableColumns>
  <tableStyleInfo name="TableStyleMedium1"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D3D2FD39-EB9F-4337-A17F-781FE37AD13F}" name="Table7382" displayName="Table7382" ref="C43:E46" totalsRowCount="1" headerRowDxfId="23" dataDxfId="22">
  <autoFilter ref="C43:E45" xr:uid="{5F9EA0FD-0BB6-4523-8BBD-683180B2155F}"/>
  <tableColumns count="3">
    <tableColumn id="1" xr3:uid="{0C24FD2D-CB37-4627-9F67-C7B03849E3AE}" name="Item" totalsRowLabel="Total" dataDxfId="21" totalsRowDxfId="20"/>
    <tableColumn id="2" xr3:uid="{AFC9C3B3-AB73-42E9-A456-6046FDA83AB3}" name="Description" dataDxfId="19" totalsRowDxfId="18"/>
    <tableColumn id="3" xr3:uid="{01C95F95-B206-49A1-B48E-4D6AA75A5F1B}" name="Cost Over 30 Years" totalsRowFunction="sum" dataDxfId="17" totalsRowDxfId="16"/>
  </tableColumns>
  <tableStyleInfo name="TableStyleMedium1"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5F8296D-E23A-428C-9E89-2236E9845B76}" name="TableA1_KABCO" displayName="TableA1_KABCO" ref="B15:C24" totalsRowShown="0">
  <autoFilter ref="B15:C24" xr:uid="{95F8296D-E23A-428C-9E89-2236E9845B76}"/>
  <tableColumns count="2">
    <tableColumn id="1" xr3:uid="{719ED2D9-1430-48AC-A147-ADE305877386}" name="KABCO Level/Crash Type"/>
    <tableColumn id="2" xr3:uid="{D58DC29D-C76D-4A36-A466-9AEAB808CCC2}" name="Monetized Value (2021 $)" dataCellStyle="Currency"/>
  </tableColumns>
  <tableStyleInfo name="TableStyleLight8"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C33A9AA-7F36-4A48-90A0-E33FA4E73B92}" name="TableA3_TTS" displayName="TableA3_TTS" ref="B32:C40" totalsRowShown="0">
  <autoFilter ref="B32:C40" xr:uid="{AC33A9AA-7F36-4A48-90A0-E33FA4E73B92}"/>
  <tableColumns count="2">
    <tableColumn id="1" xr3:uid="{FBFB2D26-6F7C-49FB-8588-22D0ECDF6D6C}" name="Category"/>
    <tableColumn id="2" xr3:uid="{FF76DECB-3D13-425A-BB7B-F9CDF1F57F03}" name="Hourly Value" dataCellStyle="Currency"/>
  </tableColumns>
  <tableStyleInfo name="TableStyleLight8"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3B87B160-5AAB-4CA1-AE68-627772C29FC4}" name="TableA4_Vehicle_Occupancy" displayName="TableA4_Vehicle_Occupancy" ref="B44:C48" totalsRowShown="0">
  <autoFilter ref="B44:C48" xr:uid="{3B87B160-5AAB-4CA1-AE68-627772C29FC4}"/>
  <tableColumns count="2">
    <tableColumn id="1" xr3:uid="{0C99DA3D-13DB-4A79-B2F5-D8D677655EF3}" name="Vehicle Type"/>
    <tableColumn id="2" xr3:uid="{28B33FEB-00DD-473F-9A05-3D982A63F0A6}" name="Average Occupancy"/>
  </tableColumns>
  <tableStyleInfo name="TableStyleLight8"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DB88F093-C6B8-4C5E-97C1-9AD6F717606B}" name="Table1.3_Safety351525355" displayName="Table1.3_Safety351525355" ref="B113:H123" totalsRowCount="1" headerRowDxfId="763" totalsRowDxfId="762">
  <autoFilter ref="B113:H122" xr:uid="{DB88F093-C6B8-4C5E-97C1-9AD6F717606B}"/>
  <tableColumns count="7">
    <tableColumn id="1" xr3:uid="{28CFEB83-9BC2-4577-9061-5CED5C2E61E1}" name="Crash Severity" totalsRowLabel="Total" dataDxfId="761" totalsRowDxfId="760"/>
    <tableColumn id="2" xr3:uid="{A89026B3-F507-4BF6-A207-5378CA7D1A5E}" name="Total Crashes" totalsRowFunction="sum" dataDxfId="759" totalsRowDxfId="758" dataCellStyle="Input"/>
    <tableColumn id="3" xr3:uid="{D8245706-536A-430E-BAD3-646C0553F185}" name="Number of Crashes per Year" totalsRowFunction="sum" dataDxfId="757" totalsRowDxfId="756" dataCellStyle="Comma">
      <calculatedColumnFormula>C114/7</calculatedColumnFormula>
    </tableColumn>
    <tableColumn id="4" xr3:uid="{2FD850AD-CD2F-442A-96AE-F31AF67E68A2}" name="Crash Reduction Factor" totalsRowFunction="average" dataDxfId="755" totalsRowDxfId="754" dataCellStyle="Input"/>
    <tableColumn id="5" xr3:uid="{7DFAFEC7-527A-4CC3-AD5F-06C02F5C72F9}" name="Predicted Annual Crash Reduction" totalsRowFunction="sum" dataDxfId="753" totalsRowDxfId="752" dataCellStyle="Comma">
      <calculatedColumnFormula>D114*E114</calculatedColumnFormula>
    </tableColumn>
    <tableColumn id="6" xr3:uid="{263C5FBB-5EE9-450D-ABBF-0F56068109F4}" name="Value of Injuries" dataDxfId="751" totalsRowDxfId="750" dataCellStyle="Currency">
      <calculatedColumnFormula>VLOOKUP(Table1.3_Safety351525355[[#This Row],[Crash Severity]],TableA1_KABCO[],2,FALSE)</calculatedColumnFormula>
    </tableColumn>
    <tableColumn id="7" xr3:uid="{31465704-9978-47E5-BFDC-724FEECB7EFA}" name="Annual Savings" totalsRowFunction="sum" dataDxfId="749" totalsRowDxfId="748" dataCellStyle="Currency">
      <calculatedColumnFormula>G114*F114</calculatedColumnFormula>
    </tableColumn>
  </tableColumns>
  <tableStyleInfo name="TableStyleLight9"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D9FAADD6-7B65-4ABD-AFEC-9CDB84B6B8BA}" name="TableA5_Operating_Costs" displayName="TableA5_Operating_Costs" ref="B52:C54" totalsRowShown="0" headerRowDxfId="15">
  <autoFilter ref="B52:C54" xr:uid="{D9FAADD6-7B65-4ABD-AFEC-9CDB84B6B8BA}"/>
  <tableColumns count="2">
    <tableColumn id="1" xr3:uid="{4D86ACC5-17AC-4279-8E12-E938DC1D614A}" name="Vehicle Type"/>
    <tableColumn id="2" xr3:uid="{C81DB925-C87F-4C2A-94AD-623FC038D61D}" name="Recommended Value per Mile (2020 $)" dataDxfId="14" dataCellStyle="Currency"/>
  </tableColumns>
  <tableStyleInfo name="TableStyleLight8"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71DF0B2F-A2AC-4766-ABF4-7C9D57653CE5}" name="TableA6_Emissions" displayName="TableA6_Emissions" ref="E15:I53" totalsRowShown="0">
  <autoFilter ref="E15:I53" xr:uid="{71DF0B2F-A2AC-4766-ABF4-7C9D57653CE5}"/>
  <tableColumns count="5">
    <tableColumn id="1" xr3:uid="{B237C0B8-88B9-4F99-BB44-171C7201C7F2}" name="Year"/>
    <tableColumn id="2" xr3:uid="{965D2E27-9B31-4812-AD7A-63EE21A4078B}" name="NOX" dataCellStyle="Currency"/>
    <tableColumn id="3" xr3:uid="{0CE886E6-5BA5-444C-BF41-279DC2DD90C8}" name="SOx" dataCellStyle="Currency"/>
    <tableColumn id="4" xr3:uid="{798F1178-7727-4D5C-A03B-79499F9F7A17}" name="PM2.5" dataCellStyle="Currency"/>
    <tableColumn id="5" xr3:uid="{3FB733C8-D4B2-42FF-B928-7E9185A25F9D}" name="CO2" dataCellStyle="Currency"/>
  </tableColumns>
  <tableStyleInfo name="TableStyleLight8"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6DC65CFF-829E-45C6-B8FD-2DB9FD775DFB}" name="TableA7_Inflation" displayName="TableA7_Inflation" ref="B59:C78" totalsRowShown="0">
  <autoFilter ref="B59:C78" xr:uid="{6DC65CFF-829E-45C6-B8FD-2DB9FD775DFB}"/>
  <tableColumns count="2">
    <tableColumn id="1" xr3:uid="{B8C891C5-E5EF-445F-B28A-38B57C46B6EE}" name="Base Year"/>
    <tableColumn id="2" xr3:uid="{E6735FF4-5B83-4EC9-8403-3043437692B6}" name="Multiplier" dataDxfId="13"/>
  </tableColumns>
  <tableStyleInfo name="TableStyleLight8"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A0C4D6D7-AD85-4599-8F38-EF35FD5A7845}" name="Table11" displayName="Table11" ref="B82:C88" totalsRowShown="0">
  <autoFilter ref="B82:C88" xr:uid="{A0C4D6D7-AD85-4599-8F38-EF35FD5A7845}"/>
  <tableColumns count="2">
    <tableColumn id="1" xr3:uid="{1D557529-F0CF-403A-A11F-993CCDAA1501}" name="Improvement Type"/>
    <tableColumn id="2" xr3:uid="{AC5B72FA-F0DB-4F69-AB53-D21AE7EE33DE}" name="Recommended Value" dataDxfId="12" dataCellStyle="Currency"/>
  </tableColumns>
  <tableStyleInfo name="TableStyleLight8"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FA752E29-2351-4C2C-970F-069ADE69C38B}" name="Table12" displayName="Table12" ref="B92:C97" totalsRowShown="0">
  <autoFilter ref="B92:C97" xr:uid="{FA752E29-2351-4C2C-970F-069ADE69C38B}"/>
  <tableColumns count="2">
    <tableColumn id="1" xr3:uid="{3F887095-6AC7-4FC6-BA4D-8B74FCD2A00B}" name="Facility Type"/>
    <tableColumn id="2" xr3:uid="{A44F8E17-1731-48E6-916E-E8FC09D8F8AC}" name="Recommended Value per Cycling Mile (2020 $)" dataCellStyle="Currency"/>
  </tableColumns>
  <tableStyleInfo name="TableStyleLight8"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6BB04753-1AE0-4BB7-B0CF-0DBD516FCCD8}" name="TableA2_PDO" displayName="TableA2_PDO" ref="B27:C28" totalsRowShown="0" headerRowDxfId="11">
  <autoFilter ref="B27:C28" xr:uid="{6BB04753-1AE0-4BB7-B0CF-0DBD516FCCD8}"/>
  <tableColumns count="2">
    <tableColumn id="1" xr3:uid="{505F0004-3C14-4129-932E-5E3090A4F7B3}" name="Crash Type" dataDxfId="10"/>
    <tableColumn id="2" xr3:uid="{39AC394A-46A8-49B4-AA84-B728BD1AA184}" name="Monetized Value (2020 $)" dataDxfId="9" dataCellStyle="Currency"/>
  </tableColumns>
  <tableStyleInfo name="TableStyleLight8"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C34CD9D0-A6FF-4DBA-BC49-E8B9665CA86E}" name="Table14" displayName="Table14" ref="E59:H81" totalsRowShown="0">
  <autoFilter ref="E59:H81" xr:uid="{C34CD9D0-A6FF-4DBA-BC49-E8B9665CA86E}"/>
  <tableColumns count="4">
    <tableColumn id="1" xr3:uid="{6B663AFF-37BB-4BBC-AA4B-D21B1231E7E7}" name="Attribute Type "/>
    <tableColumn id="2" xr3:uid="{D933DB7D-85C0-408C-995A-EF1DE7BB5519}" name=" Bus Stop " dataCellStyle="Currency"/>
    <tableColumn id="3" xr3:uid="{8889CD43-A6D5-4951-8902-C52A2A80642C}" name=" Light Rail/Streetcar Stop " dataCellStyle="Currency"/>
    <tableColumn id="4" xr3:uid="{8CBE9E61-15C9-4B83-85D8-A4A771FEACCC}" name=" Rail Station " dataCellStyle="Currency"/>
  </tableColumns>
  <tableStyleInfo name="TableStyleLight8"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1DEBA6E5-C5FE-4942-AB7E-F6D79F271D47}" name="Table15" displayName="Table15" ref="E85:H94" totalsRowShown="0">
  <autoFilter ref="E85:H94" xr:uid="{1DEBA6E5-C5FE-4942-AB7E-F6D79F271D47}"/>
  <tableColumns count="4">
    <tableColumn id="1" xr3:uid="{A0642FF0-982A-4410-BA2A-47A3911DA035}" name="Attribute Type"/>
    <tableColumn id="2" xr3:uid="{ECAE63F4-5DE3-4D2B-BF71-24C11E5236EC}" name="Bus" dataCellStyle="Currency"/>
    <tableColumn id="3" xr3:uid="{FBAE528A-F2E8-46C0-8FA6-A336954F82B7}" name="Light Rail/Streetcar" dataCellStyle="Currency"/>
    <tableColumn id="4" xr3:uid="{540F01F2-4996-47BB-A1FA-A416DFB4B347}" name="Rail" dataCellStyle="Currency"/>
  </tableColumns>
  <tableStyleInfo name="TableStyleLight8"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9BF7A47-94C0-4C1D-B2A6-4AC5656D4EA9}" name="Table3" displayName="Table3" ref="B100:C102" totalsRowShown="0">
  <autoFilter ref="B100:C102" xr:uid="{A9BF7A47-94C0-4C1D-B2A6-4AC5656D4EA9}"/>
  <tableColumns count="2">
    <tableColumn id="1" xr3:uid="{6C4D8885-B8AD-4FAC-83B7-9C5B30766BD9}" name="Mode and Age Range"/>
    <tableColumn id="2" xr3:uid="{9446F5D1-7F73-4839-823A-B290BC9DA917}" name="Recommended Value" dataCellStyle="Currency"/>
  </tableColumns>
  <tableStyleInfo name="TableStyleLight8"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68A22601-2BB8-4D2E-8BC5-26B104FBDBAE}" name="Table4" displayName="Table4" ref="E112:I121" totalsRowShown="0">
  <autoFilter ref="E112:I121" xr:uid="{68A22601-2BB8-4D2E-8BC5-26B104FBDBAE}"/>
  <tableColumns count="5">
    <tableColumn id="1" xr3:uid="{32AFD99F-4AB5-4862-8A6A-288109A363B0}" name="Vehicle Type"/>
    <tableColumn id="2" xr3:uid="{AFE789DA-5067-4943-A549-FEF5145F6759}" name="Location"/>
    <tableColumn id="3" xr3:uid="{B30300FF-81C5-4C1B-90F8-E8417019DC96}" name="Congestion (2021 $)" dataDxfId="8" dataCellStyle="Currency"/>
    <tableColumn id="4" xr3:uid="{BADC1985-33AF-41BE-A63D-6F6047207A52}" name="Noise (2021 $)" dataDxfId="7" dataCellStyle="Currency"/>
    <tableColumn id="5" xr3:uid="{75AA74EA-E771-4453-B938-A3E7200CB392}" name="Safety Cost  (2021 $)" dataDxfId="6"/>
  </tableColumns>
  <tableStyleInfo name="TableStyleLight8"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86E55854-BC2E-48ED-99DD-BA1BBB6651EF}" name="Table1.2_Safety2" displayName="Table1.2_Safety2" ref="B33:H43" totalsRowCount="1" headerRowDxfId="747" dataDxfId="746" totalsRowDxfId="745">
  <autoFilter ref="B33:H42" xr:uid="{86E55854-BC2E-48ED-99DD-BA1BBB6651EF}"/>
  <tableColumns count="7">
    <tableColumn id="1" xr3:uid="{9CE06C79-FF18-4E37-BB5B-694C6F35BB06}" name="Crash Severity" totalsRowLabel="Total" dataDxfId="744" totalsRowDxfId="743"/>
    <tableColumn id="2" xr3:uid="{815D8E35-FF41-478E-9622-DB9488C241F4}" name="Column1" totalsRowFunction="sum" dataDxfId="742" totalsRowDxfId="741" dataCellStyle="Input"/>
    <tableColumn id="3" xr3:uid="{A9445C26-BEC7-428A-BEAE-1437DC2BFFF8}" name="No-Build Predicted Crashes" totalsRowFunction="sum" dataDxfId="740" totalsRowDxfId="739" dataCellStyle="Input">
      <calculatedColumnFormula>C34/7</calculatedColumnFormula>
    </tableColumn>
    <tableColumn id="4" xr3:uid="{A8333CD3-F5F4-4168-B396-5FBC9722E6FC}" name="Crash Reduction Factor" totalsRowFunction="custom" dataDxfId="738" totalsRowDxfId="737" dataCellStyle="Input">
      <totalsRowFormula>Table1.2_Safety2[[#Totals],[Predicted Annual Crash Reduction]]/Table1.2_Safety2[[#Totals],[No-Build Predicted Crashes]]</totalsRowFormula>
    </tableColumn>
    <tableColumn id="5" xr3:uid="{4155CF78-D373-486E-B7C5-8DCCA015287D}" name="Predicted Annual Crash Reduction" totalsRowFunction="sum" dataDxfId="736" totalsRowDxfId="735" dataCellStyle="Comma">
      <calculatedColumnFormula>D34*E34</calculatedColumnFormula>
    </tableColumn>
    <tableColumn id="6" xr3:uid="{B247BC96-3B42-4F72-874D-8FB8EB6421A1}" name="Value of Injuries" dataDxfId="734" totalsRowDxfId="733" dataCellStyle="Currency">
      <calculatedColumnFormula>VLOOKUP(Table1.2_Safety2[[#This Row],[Crash Severity]],TableA1_KABCO[],2,FALSE)</calculatedColumnFormula>
    </tableColumn>
    <tableColumn id="7" xr3:uid="{F99DDA20-7A28-4F04-929A-ABBB0AD4DF87}" name="Annual Savings" totalsRowFunction="sum" dataDxfId="732" totalsRowDxfId="731" dataCellStyle="Currency">
      <calculatedColumnFormula>G34*F34</calculatedColumnFormula>
    </tableColumn>
  </tableColumns>
  <tableStyleInfo name="TableStyleLight9"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D29D170B-7FB9-4DC4-A11C-ECDFEAE83A7E}" name="Table474" displayName="Table474" ref="E98:G106" totalsRowShown="0">
  <autoFilter ref="E98:G106" xr:uid="{D29D170B-7FB9-4DC4-A11C-ECDFEAE83A7E}"/>
  <tableColumns count="3">
    <tableColumn id="1" xr3:uid="{9B477024-36F5-41B1-A68D-D290A3C4E58D}" name="Transit Mode"/>
    <tableColumn id="2" xr3:uid="{7B63C31B-B3C3-4063-B69A-477A73446996}" name="Boarding Quality*" dataDxfId="5" dataCellStyle="Currency"/>
    <tableColumn id="3" xr3:uid="{F837B5AB-C6C3-4D7F-A640-680D97BB528D}" name="Vehicle Ride Quality**" dataDxfId="4" dataCellStyle="Currency"/>
  </tableColumns>
  <tableStyleInfo name="TableStyleLight8"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A45E504-28F7-4708-8039-C4C241EE25D7}" name="TableB1_BasicInfo" displayName="TableB1_BasicInfo" ref="B11:C15" totalsRowShown="0">
  <autoFilter ref="B11:C15" xr:uid="{3A45E504-28F7-4708-8039-C4C241EE25D7}"/>
  <tableColumns count="2">
    <tableColumn id="1" xr3:uid="{F4E915AB-CCCA-4957-B493-07C602CAEEEE}" name="Input"/>
    <tableColumn id="2" xr3:uid="{82DB2312-E53A-41C0-AA8D-3C4DF39D222D}" name="Value"/>
  </tableColumns>
  <tableStyleInfo name="TableStyleLight8"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44A5562-6476-4443-9D59-94E259B02A17}" name="Table1B_Schedule" displayName="Table1B_Schedule" ref="E11:F15" totalsRowShown="0">
  <autoFilter ref="E11:F15" xr:uid="{D44A5562-6476-4443-9D59-94E259B02A17}"/>
  <tableColumns count="2">
    <tableColumn id="1" xr3:uid="{EA277C0E-9279-4D9A-95B9-F35B52725328}" name="Input"/>
    <tableColumn id="2" xr3:uid="{F3A2B319-61E5-420E-B689-A22BAB389394}" name="Value"/>
  </tableColumns>
  <tableStyleInfo name="TableStyleLight8"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4E621154-03BE-476E-A956-E3CFA6CCA1E0}" name="Table39" displayName="Table39" ref="B19:C55" totalsRowShown="0" headerRowDxfId="3" dataDxfId="2">
  <autoFilter ref="B19:C55" xr:uid="{4E621154-03BE-476E-A956-E3CFA6CCA1E0}"/>
  <tableColumns count="2">
    <tableColumn id="1" xr3:uid="{95A1F9C6-4A96-46E5-969E-4779C2022E7A}" name="Year Number" dataDxfId="1">
      <calculatedColumnFormula>B19+1</calculatedColumnFormula>
    </tableColumn>
    <tableColumn id="2" xr3:uid="{0DB2BDE5-33DA-49EA-8FC3-2FBB28A5CCF4}" name="Year" dataDxfId="0">
      <calculatedColumnFormula>First_Year+Table39[[#This Row],[Year Number]]</calculatedColumnFormula>
    </tableColumn>
  </tableColumns>
  <tableStyleInfo name="TableStyleLight8"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D09EE634-E547-4593-9332-188B5FFF5CDC}" name="Table1.3_Safety3" displayName="Table1.3_Safety3" ref="B49:H59" totalsRowCount="1" headerRowDxfId="730" totalsRowDxfId="729">
  <autoFilter ref="B49:H58" xr:uid="{D09EE634-E547-4593-9332-188B5FFF5CDC}"/>
  <tableColumns count="7">
    <tableColumn id="1" xr3:uid="{260E0D85-D3F4-449C-8F4F-62A2BE0A7E76}" name="Crash Severity" totalsRowLabel="Total" dataDxfId="728" totalsRowDxfId="727"/>
    <tableColumn id="2" xr3:uid="{D9121213-75BA-47E7-A97C-8B6C1203E2A8}" name="Column1" totalsRowFunction="sum" dataDxfId="726" totalsRowDxfId="725" dataCellStyle="Input"/>
    <tableColumn id="3" xr3:uid="{1113F015-35B0-40FF-8486-5DFD584606F4}" name="No-Build Predicted Crashes" totalsRowFunction="sum" dataDxfId="724" totalsRowDxfId="723" dataCellStyle="Input">
      <calculatedColumnFormula>C50/7</calculatedColumnFormula>
    </tableColumn>
    <tableColumn id="4" xr3:uid="{6ED792B2-31DA-4FFB-8C6C-7EAF7B4AA861}" name="Crash Reduction Factor" totalsRowFunction="custom" dataDxfId="722" totalsRowDxfId="721" dataCellStyle="Input">
      <totalsRowFormula>Table1.3_Safety3[[#Totals],[Predicted Annual Crash Reduction]]/Table1.3_Safety3[[#Totals],[No-Build Predicted Crashes]]</totalsRowFormula>
    </tableColumn>
    <tableColumn id="5" xr3:uid="{C14B0CE0-06F8-4A1D-ADDF-E8BB95F4C86D}" name="Predicted Annual Crash Reduction" totalsRowFunction="sum" dataDxfId="720" totalsRowDxfId="719" dataCellStyle="Comma">
      <calculatedColumnFormula>D50*E50</calculatedColumnFormula>
    </tableColumn>
    <tableColumn id="6" xr3:uid="{719B4D0A-6598-4A53-848D-132BD2A74B57}" name="Value of Injuries" dataDxfId="718" totalsRowDxfId="717" dataCellStyle="Currency">
      <calculatedColumnFormula>VLOOKUP(Table1.3_Safety3[[#This Row],[Crash Severity]],TableA1_KABCO[],2,FALSE)</calculatedColumnFormula>
    </tableColumn>
    <tableColumn id="7" xr3:uid="{D8BADB44-6EB1-4BE9-88FE-FEAABBCABF00}" name="Annual Savings" totalsRowFunction="sum" dataDxfId="716" totalsRowDxfId="715" dataCellStyle="Currency">
      <calculatedColumnFormula>G50*F50</calculatedColumnFormula>
    </tableColumn>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table" Target="../tables/table3.xml"/><Relationship Id="rId4" Type="http://schemas.openxmlformats.org/officeDocument/2006/relationships/table" Target="../tables/table2.x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2.xml"/><Relationship Id="rId7" Type="http://schemas.openxmlformats.org/officeDocument/2006/relationships/table" Target="../tables/table36.xml"/><Relationship Id="rId2" Type="http://schemas.openxmlformats.org/officeDocument/2006/relationships/drawing" Target="../drawings/drawing10.xml"/><Relationship Id="rId1" Type="http://schemas.openxmlformats.org/officeDocument/2006/relationships/printerSettings" Target="../printerSettings/printerSettings10.bin"/><Relationship Id="rId6" Type="http://schemas.openxmlformats.org/officeDocument/2006/relationships/table" Target="../tables/table35.xml"/><Relationship Id="rId5" Type="http://schemas.openxmlformats.org/officeDocument/2006/relationships/table" Target="../tables/table34.xml"/><Relationship Id="rId4" Type="http://schemas.openxmlformats.org/officeDocument/2006/relationships/table" Target="../tables/table33.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37.x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table" Target="../tables/table39.xml"/><Relationship Id="rId4" Type="http://schemas.openxmlformats.org/officeDocument/2006/relationships/table" Target="../tables/table3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40.x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table" Target="../tables/table41.xml"/></Relationships>
</file>

<file path=xl/worksheets/_rels/sheet15.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14.xml"/><Relationship Id="rId1" Type="http://schemas.openxmlformats.org/officeDocument/2006/relationships/printerSettings" Target="../printerSettings/printerSettings15.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16.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49.xml"/><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50.xml"/><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51.xml"/><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52.xml"/><Relationship Id="rId2" Type="http://schemas.openxmlformats.org/officeDocument/2006/relationships/drawing" Target="../drawings/drawing19.xml"/><Relationship Id="rId1" Type="http://schemas.openxmlformats.org/officeDocument/2006/relationships/printerSettings" Target="../printerSettings/printerSettings20.bin"/><Relationship Id="rId5" Type="http://schemas.openxmlformats.org/officeDocument/2006/relationships/table" Target="../tables/table54.xml"/><Relationship Id="rId4" Type="http://schemas.openxmlformats.org/officeDocument/2006/relationships/table" Target="../tables/table5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55.xml"/><Relationship Id="rId2" Type="http://schemas.openxmlformats.org/officeDocument/2006/relationships/drawing" Target="../drawings/drawing20.xml"/><Relationship Id="rId1" Type="http://schemas.openxmlformats.org/officeDocument/2006/relationships/printerSettings" Target="../printerSettings/printerSettings21.bin"/><Relationship Id="rId5" Type="http://schemas.openxmlformats.org/officeDocument/2006/relationships/table" Target="../tables/table57.xml"/><Relationship Id="rId4" Type="http://schemas.openxmlformats.org/officeDocument/2006/relationships/table" Target="../tables/table56.xml"/></Relationships>
</file>

<file path=xl/worksheets/_rels/sheet22.xml.rels><?xml version="1.0" encoding="UTF-8" standalone="yes"?>
<Relationships xmlns="http://schemas.openxmlformats.org/package/2006/relationships"><Relationship Id="rId3" Type="http://schemas.openxmlformats.org/officeDocument/2006/relationships/table" Target="../tables/table58.xml"/><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59.xml"/><Relationship Id="rId7" Type="http://schemas.openxmlformats.org/officeDocument/2006/relationships/table" Target="../tables/table63.xml"/><Relationship Id="rId2" Type="http://schemas.openxmlformats.org/officeDocument/2006/relationships/drawing" Target="../drawings/drawing24.xml"/><Relationship Id="rId1" Type="http://schemas.openxmlformats.org/officeDocument/2006/relationships/printerSettings" Target="../printerSettings/printerSettings25.bin"/><Relationship Id="rId6" Type="http://schemas.openxmlformats.org/officeDocument/2006/relationships/table" Target="../tables/table62.xml"/><Relationship Id="rId5" Type="http://schemas.openxmlformats.org/officeDocument/2006/relationships/table" Target="../tables/table61.xml"/><Relationship Id="rId4" Type="http://schemas.openxmlformats.org/officeDocument/2006/relationships/table" Target="../tables/table60.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table" Target="../tables/table64.xml"/><Relationship Id="rId2" Type="http://schemas.openxmlformats.org/officeDocument/2006/relationships/drawing" Target="../drawings/drawing26.xml"/><Relationship Id="rId1" Type="http://schemas.openxmlformats.org/officeDocument/2006/relationships/printerSettings" Target="../printerSettings/printerSettings27.bin"/><Relationship Id="rId5" Type="http://schemas.openxmlformats.org/officeDocument/2006/relationships/table" Target="../tables/table66.xml"/><Relationship Id="rId4" Type="http://schemas.openxmlformats.org/officeDocument/2006/relationships/table" Target="../tables/table65.xml"/></Relationships>
</file>

<file path=xl/worksheets/_rels/sheet28.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27.xml"/><Relationship Id="rId16" Type="http://schemas.openxmlformats.org/officeDocument/2006/relationships/table" Target="../tables/table80.xml"/><Relationship Id="rId1" Type="http://schemas.openxmlformats.org/officeDocument/2006/relationships/printerSettings" Target="../printerSettings/printerSettings28.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5" Type="http://schemas.openxmlformats.org/officeDocument/2006/relationships/table" Target="../tables/table7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9.xml.rels><?xml version="1.0" encoding="UTF-8" standalone="yes"?>
<Relationships xmlns="http://schemas.openxmlformats.org/package/2006/relationships"><Relationship Id="rId3" Type="http://schemas.openxmlformats.org/officeDocument/2006/relationships/table" Target="../tables/table81.xml"/><Relationship Id="rId2" Type="http://schemas.openxmlformats.org/officeDocument/2006/relationships/drawing" Target="../drawings/drawing28.xml"/><Relationship Id="rId1" Type="http://schemas.openxmlformats.org/officeDocument/2006/relationships/printerSettings" Target="../printerSettings/printerSettings29.bin"/><Relationship Id="rId5" Type="http://schemas.openxmlformats.org/officeDocument/2006/relationships/table" Target="../tables/table83.xml"/><Relationship Id="rId4" Type="http://schemas.openxmlformats.org/officeDocument/2006/relationships/table" Target="../tables/table8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table" Target="../tables/table9.xml"/><Relationship Id="rId3" Type="http://schemas.openxmlformats.org/officeDocument/2006/relationships/table" Target="../tables/table4.xml"/><Relationship Id="rId7" Type="http://schemas.openxmlformats.org/officeDocument/2006/relationships/table" Target="../tables/table8.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table" Target="../tables/table7.xml"/><Relationship Id="rId5" Type="http://schemas.openxmlformats.org/officeDocument/2006/relationships/table" Target="../tables/table6.xml"/><Relationship Id="rId10" Type="http://schemas.openxmlformats.org/officeDocument/2006/relationships/table" Target="../tables/table11.xml"/><Relationship Id="rId4" Type="http://schemas.openxmlformats.org/officeDocument/2006/relationships/table" Target="../tables/table5.xml"/><Relationship Id="rId9" Type="http://schemas.openxmlformats.org/officeDocument/2006/relationships/table" Target="../tables/table10.xml"/></Relationships>
</file>

<file path=xl/worksheets/_rels/sheet5.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table" Target="../tables/table15.xml"/><Relationship Id="rId4" Type="http://schemas.openxmlformats.org/officeDocument/2006/relationships/table" Target="../tables/table14.xml"/></Relationships>
</file>

<file path=xl/worksheets/_rels/sheet7.xml.rels><?xml version="1.0" encoding="UTF-8" standalone="yes"?>
<Relationships xmlns="http://schemas.openxmlformats.org/package/2006/relationships"><Relationship Id="rId3" Type="http://schemas.openxmlformats.org/officeDocument/2006/relationships/table" Target="../tables/table16.xml"/><Relationship Id="rId7" Type="http://schemas.openxmlformats.org/officeDocument/2006/relationships/table" Target="../tables/table20.x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table" Target="../tables/table19.xml"/><Relationship Id="rId5" Type="http://schemas.openxmlformats.org/officeDocument/2006/relationships/table" Target="../tables/table18.xml"/><Relationship Id="rId4" Type="http://schemas.openxmlformats.org/officeDocument/2006/relationships/table" Target="../tables/table17.xml"/></Relationships>
</file>

<file path=xl/worksheets/_rels/sheet8.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9.xml.rels><?xml version="1.0" encoding="UTF-8" standalone="yes"?>
<Relationships xmlns="http://schemas.openxmlformats.org/package/2006/relationships"><Relationship Id="rId8" Type="http://schemas.openxmlformats.org/officeDocument/2006/relationships/table" Target="../tables/table30.xml"/><Relationship Id="rId3" Type="http://schemas.openxmlformats.org/officeDocument/2006/relationships/table" Target="../tables/table25.xml"/><Relationship Id="rId7" Type="http://schemas.openxmlformats.org/officeDocument/2006/relationships/table" Target="../tables/table29.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28.xml"/><Relationship Id="rId5" Type="http://schemas.openxmlformats.org/officeDocument/2006/relationships/table" Target="../tables/table27.xml"/><Relationship Id="rId4" Type="http://schemas.openxmlformats.org/officeDocument/2006/relationships/table" Target="../tables/table26.xml"/><Relationship Id="rId9" Type="http://schemas.openxmlformats.org/officeDocument/2006/relationships/table" Target="../tables/table3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pageSetUpPr fitToPage="1"/>
  </sheetPr>
  <dimension ref="A1:K61"/>
  <sheetViews>
    <sheetView showGridLines="0" view="pageBreakPreview" zoomScale="85" zoomScaleNormal="85" zoomScaleSheetLayoutView="85" workbookViewId="0">
      <selection activeCell="A3" sqref="A3:XFD3"/>
    </sheetView>
  </sheetViews>
  <sheetFormatPr defaultColWidth="9.140625" defaultRowHeight="12.75"/>
  <cols>
    <col min="1" max="1" width="12.85546875" style="61" bestFit="1" customWidth="1"/>
    <col min="2" max="2" width="6.7109375" style="67" customWidth="1"/>
    <col min="3" max="3" width="10.7109375" style="61" bestFit="1" customWidth="1"/>
    <col min="4" max="4" width="18.5703125" style="61" customWidth="1"/>
    <col min="5" max="5" width="30.5703125" style="61" customWidth="1"/>
    <col min="6" max="6" width="17.7109375" style="61" customWidth="1"/>
    <col min="7" max="7" width="2.7109375" style="61" customWidth="1"/>
    <col min="8" max="8" width="18.140625" style="61" customWidth="1"/>
    <col min="9" max="9" width="18.28515625" style="61" customWidth="1"/>
    <col min="10" max="10" width="19.5703125" style="61" customWidth="1"/>
    <col min="11" max="11" width="1.7109375" style="61" customWidth="1"/>
    <col min="12" max="13" width="16" style="61" customWidth="1"/>
    <col min="14" max="14" width="14.7109375" style="61" customWidth="1"/>
    <col min="15" max="16384" width="9.140625" style="61"/>
  </cols>
  <sheetData>
    <row r="1" spans="1:11">
      <c r="A1" s="396" t="s">
        <v>0</v>
      </c>
      <c r="B1" s="396"/>
      <c r="C1" s="396"/>
      <c r="D1" s="396"/>
      <c r="E1" s="396"/>
      <c r="F1" s="396"/>
      <c r="G1" s="396"/>
      <c r="H1" s="396"/>
      <c r="I1" s="396"/>
      <c r="J1" s="396"/>
      <c r="K1" s="60"/>
    </row>
    <row r="2" spans="1:11">
      <c r="A2" s="62" t="s">
        <v>1</v>
      </c>
      <c r="B2" s="63" t="str">
        <f>Project_Name</f>
        <v>Right-Sizing Route 37: Improving Community Connectivity</v>
      </c>
    </row>
    <row r="3" spans="1:11" hidden="1">
      <c r="A3" s="62" t="s">
        <v>2</v>
      </c>
      <c r="B3" s="63"/>
    </row>
    <row r="4" spans="1:11">
      <c r="A4" s="62" t="s">
        <v>3</v>
      </c>
      <c r="B4" s="401">
        <f>Date</f>
        <v>44985</v>
      </c>
      <c r="C4" s="401"/>
      <c r="D4" s="401"/>
    </row>
    <row r="5" spans="1:11" ht="19.5" customHeight="1" thickBot="1">
      <c r="A5" s="62"/>
      <c r="B5" s="65"/>
    </row>
    <row r="6" spans="1:11" ht="150.75" customHeight="1" thickBot="1">
      <c r="A6" s="398" t="s">
        <v>656</v>
      </c>
      <c r="B6" s="399"/>
      <c r="C6" s="399"/>
      <c r="D6" s="399"/>
      <c r="E6" s="399"/>
      <c r="F6" s="399"/>
      <c r="G6" s="399"/>
      <c r="H6" s="399"/>
      <c r="I6" s="399"/>
      <c r="J6" s="400"/>
      <c r="K6" s="66"/>
    </row>
    <row r="7" spans="1:11">
      <c r="A7" s="62"/>
      <c r="B7" s="65"/>
    </row>
    <row r="8" spans="1:11">
      <c r="A8" s="62"/>
      <c r="B8" s="65"/>
      <c r="E8" s="63" t="s">
        <v>4</v>
      </c>
    </row>
    <row r="9" spans="1:11">
      <c r="A9" s="62"/>
      <c r="B9" s="65"/>
    </row>
    <row r="10" spans="1:11">
      <c r="A10" s="62"/>
      <c r="B10" s="65"/>
      <c r="E10" s="61" t="s">
        <v>5</v>
      </c>
      <c r="F10" s="61" t="s">
        <v>6</v>
      </c>
    </row>
    <row r="11" spans="1:11" ht="12.75" customHeight="1">
      <c r="E11" s="81" t="s">
        <v>7</v>
      </c>
      <c r="F11" s="77">
        <v>30</v>
      </c>
    </row>
    <row r="12" spans="1:11">
      <c r="E12" s="81" t="s">
        <v>8</v>
      </c>
      <c r="F12" s="320">
        <v>7.0000000000000007E-2</v>
      </c>
    </row>
    <row r="13" spans="1:11">
      <c r="E13" s="81" t="s">
        <v>9</v>
      </c>
      <c r="F13" s="320">
        <v>0.03</v>
      </c>
    </row>
    <row r="14" spans="1:11">
      <c r="E14" s="81" t="s">
        <v>10</v>
      </c>
      <c r="F14" s="323">
        <f ca="1">Table76[[#Totals],[Project Benefits at 7% Discount Rate*]]</f>
        <v>95203704.862088308</v>
      </c>
    </row>
    <row r="15" spans="1:11">
      <c r="E15" s="81" t="s">
        <v>11</v>
      </c>
      <c r="F15" s="323">
        <f>Table77[[#Totals],[Project Costs at 7% Discount Rate]]</f>
        <v>76109662.78465198</v>
      </c>
    </row>
    <row r="16" spans="1:11">
      <c r="E16" s="90" t="s">
        <v>12</v>
      </c>
      <c r="F16" s="328">
        <f ca="1">F14/F15</f>
        <v>1.1731949335647083</v>
      </c>
    </row>
    <row r="17" spans="2:10">
      <c r="E17" s="81" t="s">
        <v>13</v>
      </c>
      <c r="F17" s="321">
        <f ca="1">Table76[[#Totals],[Project Benefits at 7% Discount Rate*]]-Table77[[#Totals],[Project Costs at 7% Discount Rate]]</f>
        <v>14054611.784422636</v>
      </c>
    </row>
    <row r="18" spans="2:10">
      <c r="E18" s="82" t="s">
        <v>14</v>
      </c>
      <c r="F18" s="322">
        <f ca="1">Table76[[#Totals],[Project Benefits at 3% Discount Rate]]/Table77[[#Totals],[Project Costs at 3% Discount Rate]]</f>
        <v>1.7396347254676428</v>
      </c>
    </row>
    <row r="19" spans="2:10">
      <c r="E19" s="82" t="s">
        <v>15</v>
      </c>
      <c r="F19" s="292">
        <f ca="1">Table76[[#Totals],[Project Benefits at 3% Discount Rate]]-Table77[[#Totals],[Project Costs at 3% Discount Rate]]</f>
        <v>71390034.67589058</v>
      </c>
    </row>
    <row r="21" spans="2:10" ht="12.75" customHeight="1">
      <c r="B21" s="397" t="s">
        <v>16</v>
      </c>
      <c r="C21" s="397"/>
      <c r="D21" s="397"/>
      <c r="H21" s="71" t="s">
        <v>17</v>
      </c>
      <c r="I21" s="71"/>
      <c r="J21" s="71"/>
    </row>
    <row r="22" spans="2:10">
      <c r="H22" s="70"/>
    </row>
    <row r="23" spans="2:10" ht="48" customHeight="1">
      <c r="B23" s="134" t="s">
        <v>18</v>
      </c>
      <c r="C23" s="134" t="s">
        <v>19</v>
      </c>
      <c r="D23" s="134" t="s">
        <v>20</v>
      </c>
      <c r="E23" s="134" t="s">
        <v>21</v>
      </c>
      <c r="F23" s="134" t="s">
        <v>22</v>
      </c>
      <c r="G23" s="134"/>
      <c r="H23" s="134" t="s">
        <v>23</v>
      </c>
      <c r="I23" s="134" t="s">
        <v>24</v>
      </c>
      <c r="J23" s="134" t="s">
        <v>25</v>
      </c>
    </row>
    <row r="24" spans="2:10" ht="12.75" customHeight="1">
      <c r="B24" s="324">
        <v>1</v>
      </c>
      <c r="C24" s="324">
        <v>2023</v>
      </c>
      <c r="D24" s="325">
        <f>'ES-2. B&amp;C Summary Backup'!M12</f>
        <v>0</v>
      </c>
      <c r="E24" s="326">
        <f>'ES-2. B&amp;C Summary Backup'!N12</f>
        <v>0</v>
      </c>
      <c r="F24" s="326">
        <f t="shared" ref="F24:F59" si="0">$D24/((1+$F$13)^$B24)</f>
        <v>0</v>
      </c>
      <c r="G24" s="326"/>
      <c r="H24" s="327">
        <f>'ES-2. B&amp;C Summary Backup'!G58</f>
        <v>610000</v>
      </c>
      <c r="I24" s="326">
        <f t="shared" ref="I24:I59" si="1">$H24/((1+$F$12)^$B24)</f>
        <v>570093.45794392517</v>
      </c>
      <c r="J24" s="326">
        <f t="shared" ref="J24:J59" si="2">$H24/((1+$F$13)^$B24)</f>
        <v>592233.00970873784</v>
      </c>
    </row>
    <row r="25" spans="2:10">
      <c r="B25" s="324">
        <v>2</v>
      </c>
      <c r="C25" s="324">
        <f>C24+1</f>
        <v>2024</v>
      </c>
      <c r="D25" s="325">
        <f>'ES-2. B&amp;C Summary Backup'!M13</f>
        <v>0</v>
      </c>
      <c r="E25" s="326">
        <f>'ES-2. B&amp;C Summary Backup'!N13</f>
        <v>0</v>
      </c>
      <c r="F25" s="326">
        <f t="shared" si="0"/>
        <v>0</v>
      </c>
      <c r="G25" s="326"/>
      <c r="H25" s="327">
        <f>'ES-2. B&amp;C Summary Backup'!G59</f>
        <v>2415000</v>
      </c>
      <c r="I25" s="326">
        <f t="shared" si="1"/>
        <v>2109354.5287798061</v>
      </c>
      <c r="J25" s="326">
        <f t="shared" si="2"/>
        <v>2276369.1205580169</v>
      </c>
    </row>
    <row r="26" spans="2:10">
      <c r="B26" s="324">
        <v>3</v>
      </c>
      <c r="C26" s="324">
        <f t="shared" ref="C26:C59" si="3">C25+1</f>
        <v>2025</v>
      </c>
      <c r="D26" s="325">
        <f>'ES-2. B&amp;C Summary Backup'!M14</f>
        <v>25927991</v>
      </c>
      <c r="E26" s="326">
        <f>'ES-2. B&amp;C Summary Backup'!N14</f>
        <v>21164964.005345117</v>
      </c>
      <c r="F26" s="326">
        <f t="shared" si="0"/>
        <v>23727784.707433786</v>
      </c>
      <c r="G26" s="326"/>
      <c r="H26" s="327">
        <f>'ES-2. B&amp;C Summary Backup'!G60</f>
        <v>2875000</v>
      </c>
      <c r="I26" s="326">
        <f t="shared" si="1"/>
        <v>2346856.3960611993</v>
      </c>
      <c r="J26" s="326">
        <f t="shared" si="2"/>
        <v>2631032.2706403336</v>
      </c>
    </row>
    <row r="27" spans="2:10">
      <c r="B27" s="324">
        <v>4</v>
      </c>
      <c r="C27" s="324">
        <f t="shared" si="3"/>
        <v>2026</v>
      </c>
      <c r="D27" s="325">
        <f>'ES-2. B&amp;C Summary Backup'!M15</f>
        <v>0</v>
      </c>
      <c r="E27" s="326">
        <f>'ES-2. B&amp;C Summary Backup'!N15</f>
        <v>0</v>
      </c>
      <c r="F27" s="326">
        <f t="shared" si="0"/>
        <v>0</v>
      </c>
      <c r="G27" s="326"/>
      <c r="H27" s="327">
        <f>'ES-2. B&amp;C Summary Backup'!G61</f>
        <v>30900000</v>
      </c>
      <c r="I27" s="326">
        <f t="shared" si="1"/>
        <v>23573462.052268531</v>
      </c>
      <c r="J27" s="326">
        <f t="shared" si="2"/>
        <v>27454249.780594788</v>
      </c>
    </row>
    <row r="28" spans="2:10">
      <c r="B28" s="324">
        <v>5</v>
      </c>
      <c r="C28" s="324">
        <f t="shared" si="3"/>
        <v>2027</v>
      </c>
      <c r="D28" s="325">
        <f>'ES-2. B&amp;C Summary Backup'!M16</f>
        <v>0</v>
      </c>
      <c r="E28" s="326">
        <f>'ES-2. B&amp;C Summary Backup'!N16</f>
        <v>0</v>
      </c>
      <c r="F28" s="326">
        <f t="shared" si="0"/>
        <v>0</v>
      </c>
      <c r="G28" s="326"/>
      <c r="H28" s="327">
        <f>'ES-2. B&amp;C Summary Backup'!G62</f>
        <v>37522256.691973545</v>
      </c>
      <c r="I28" s="326">
        <f t="shared" si="1"/>
        <v>26752850.444415726</v>
      </c>
      <c r="J28" s="326">
        <f t="shared" si="2"/>
        <v>32367028.232413866</v>
      </c>
    </row>
    <row r="29" spans="2:10">
      <c r="B29" s="324">
        <v>6</v>
      </c>
      <c r="C29" s="324">
        <f t="shared" si="3"/>
        <v>2028</v>
      </c>
      <c r="D29" s="325">
        <f>'ES-2. B&amp;C Summary Backup'!M17</f>
        <v>16542651</v>
      </c>
      <c r="E29" s="326">
        <f>'ES-2. B&amp;C Summary Backup'!N17</f>
        <v>11023066.855160454</v>
      </c>
      <c r="F29" s="326">
        <f t="shared" si="0"/>
        <v>13854209.776312113</v>
      </c>
      <c r="G29" s="326"/>
      <c r="H29" s="327">
        <f>'ES-2. B&amp;C Summary Backup'!G63</f>
        <v>24822256.691973548</v>
      </c>
      <c r="I29" s="326">
        <f t="shared" si="1"/>
        <v>16540117.724273965</v>
      </c>
      <c r="J29" s="326">
        <f t="shared" si="2"/>
        <v>20788249.194888335</v>
      </c>
    </row>
    <row r="30" spans="2:10">
      <c r="B30" s="324">
        <v>7</v>
      </c>
      <c r="C30" s="324">
        <f t="shared" si="3"/>
        <v>2029</v>
      </c>
      <c r="D30" s="327">
        <f ca="1">'ES-2. B&amp;C Summary Backup'!M18</f>
        <v>8751677.2572721876</v>
      </c>
      <c r="E30" s="326">
        <f ca="1">'ES-2. B&amp;C Summary Backup'!N18</f>
        <v>5452854.8235980934</v>
      </c>
      <c r="F30" s="326">
        <f t="shared" ca="1" si="0"/>
        <v>7115914.4879047005</v>
      </c>
      <c r="G30" s="326"/>
      <c r="H30" s="325">
        <f>'ES-2. B&amp;C Summary Backup'!G64</f>
        <v>1700000</v>
      </c>
      <c r="I30" s="326">
        <f t="shared" si="1"/>
        <v>1058674.5612038048</v>
      </c>
      <c r="J30" s="326">
        <f t="shared" si="2"/>
        <v>1382255.5692837015</v>
      </c>
    </row>
    <row r="31" spans="2:10">
      <c r="B31" s="324">
        <v>8</v>
      </c>
      <c r="C31" s="324">
        <f t="shared" si="3"/>
        <v>2030</v>
      </c>
      <c r="D31" s="327">
        <f ca="1">'ES-2. B&amp;C Summary Backup'!M19</f>
        <v>5917151.7031180598</v>
      </c>
      <c r="E31" s="326">
        <f ca="1">'ES-2. B&amp;C Summary Backup'!N19</f>
        <v>3446999.0577659304</v>
      </c>
      <c r="F31" s="326">
        <f t="shared" ca="1" si="0"/>
        <v>4671054.1952778287</v>
      </c>
      <c r="G31" s="326"/>
      <c r="H31" s="325">
        <f>'ES-2. B&amp;C Summary Backup'!G65</f>
        <v>413064</v>
      </c>
      <c r="I31" s="326">
        <f t="shared" si="1"/>
        <v>240407.00876805303</v>
      </c>
      <c r="J31" s="326">
        <f t="shared" si="2"/>
        <v>326076.53596265154</v>
      </c>
    </row>
    <row r="32" spans="2:10">
      <c r="B32" s="324">
        <v>9</v>
      </c>
      <c r="C32" s="324">
        <f t="shared" si="3"/>
        <v>2031</v>
      </c>
      <c r="D32" s="327">
        <f ca="1">'ES-2. B&amp;C Summary Backup'!M20</f>
        <v>6082886.815630598</v>
      </c>
      <c r="E32" s="326">
        <f ca="1">'ES-2. B&amp;C Summary Backup'!N20</f>
        <v>3312318.6474590804</v>
      </c>
      <c r="F32" s="326">
        <f t="shared" ca="1" si="0"/>
        <v>4662026.2364517329</v>
      </c>
      <c r="G32" s="326"/>
      <c r="H32" s="325">
        <f>'ES-2. B&amp;C Summary Backup'!G66</f>
        <v>413064</v>
      </c>
      <c r="I32" s="326">
        <f t="shared" si="1"/>
        <v>224679.4474467785</v>
      </c>
      <c r="J32" s="326">
        <f t="shared" si="2"/>
        <v>316579.16112878791</v>
      </c>
    </row>
    <row r="33" spans="2:10">
      <c r="B33" s="324">
        <v>10</v>
      </c>
      <c r="C33" s="324">
        <f t="shared" si="3"/>
        <v>2032</v>
      </c>
      <c r="D33" s="327">
        <f ca="1">'ES-2. B&amp;C Summary Backup'!M21</f>
        <v>6248331.8614764698</v>
      </c>
      <c r="E33" s="326">
        <f ca="1">'ES-2. B&amp;C Summary Backup'!N21</f>
        <v>3180382.5310836434</v>
      </c>
      <c r="F33" s="326">
        <f t="shared" ca="1" si="0"/>
        <v>4649345.7163799684</v>
      </c>
      <c r="G33" s="326"/>
      <c r="H33" s="325">
        <f>'ES-2. B&amp;C Summary Backup'!G67</f>
        <v>413064</v>
      </c>
      <c r="I33" s="326">
        <f t="shared" si="1"/>
        <v>209980.79200633508</v>
      </c>
      <c r="J33" s="326">
        <f t="shared" si="2"/>
        <v>307358.40886290092</v>
      </c>
    </row>
    <row r="34" spans="2:10">
      <c r="B34" s="324">
        <v>11</v>
      </c>
      <c r="C34" s="324">
        <f t="shared" si="3"/>
        <v>2033</v>
      </c>
      <c r="D34" s="327">
        <f ca="1">'ES-2. B&amp;C Summary Backup'!M22</f>
        <v>6413794.9739890061</v>
      </c>
      <c r="E34" s="326">
        <f ca="1">'ES-2. B&amp;C Summary Backup'!N22</f>
        <v>3051608.1526826276</v>
      </c>
      <c r="F34" s="326">
        <f t="shared" ca="1" si="0"/>
        <v>4633461.9529518634</v>
      </c>
      <c r="G34" s="326"/>
      <c r="H34" s="325">
        <f>'ES-2. B&amp;C Summary Backup'!G68</f>
        <v>413064</v>
      </c>
      <c r="I34" s="326">
        <f t="shared" si="1"/>
        <v>196243.73084704208</v>
      </c>
      <c r="J34" s="326">
        <f t="shared" si="2"/>
        <v>298406.22219699115</v>
      </c>
    </row>
    <row r="35" spans="2:10">
      <c r="B35" s="324">
        <v>12</v>
      </c>
      <c r="C35" s="324">
        <f t="shared" si="3"/>
        <v>2034</v>
      </c>
      <c r="D35" s="327">
        <f ca="1">'ES-2. B&amp;C Summary Backup'!M23</f>
        <v>6579276.1531682108</v>
      </c>
      <c r="E35" s="326">
        <f ca="1">'ES-2. B&amp;C Summary Backup'!N23</f>
        <v>2926146.0785354711</v>
      </c>
      <c r="F35" s="326">
        <f t="shared" ca="1" si="0"/>
        <v>4614571.9200656051</v>
      </c>
      <c r="G35" s="326"/>
      <c r="H35" s="325">
        <f>'ES-2. B&amp;C Summary Backup'!G69</f>
        <v>413064</v>
      </c>
      <c r="I35" s="326">
        <f t="shared" si="1"/>
        <v>183405.35593181508</v>
      </c>
      <c r="J35" s="326">
        <f t="shared" si="2"/>
        <v>289714.77883203031</v>
      </c>
    </row>
    <row r="36" spans="2:10">
      <c r="B36" s="324">
        <v>13</v>
      </c>
      <c r="C36" s="324">
        <f t="shared" si="3"/>
        <v>2035</v>
      </c>
      <c r="D36" s="327">
        <f ca="1">'ES-2. B&amp;C Summary Backup'!M24</f>
        <v>6744775.3990140837</v>
      </c>
      <c r="E36" s="326">
        <f ca="1">'ES-2. B&amp;C Summary Backup'!N24</f>
        <v>2804113.6203973815</v>
      </c>
      <c r="F36" s="326">
        <f t="shared" ca="1" si="0"/>
        <v>4592863.8459116612</v>
      </c>
      <c r="G36" s="326"/>
      <c r="H36" s="325">
        <f>'ES-2. B&amp;C Summary Backup'!G70</f>
        <v>413064</v>
      </c>
      <c r="I36" s="326">
        <f t="shared" si="1"/>
        <v>171406.87470263091</v>
      </c>
      <c r="J36" s="326">
        <f t="shared" si="2"/>
        <v>281276.48430294206</v>
      </c>
    </row>
    <row r="37" spans="2:10">
      <c r="B37" s="324">
        <v>14</v>
      </c>
      <c r="C37" s="324">
        <f t="shared" si="3"/>
        <v>2036</v>
      </c>
      <c r="D37" s="327">
        <f ca="1">'ES-2. B&amp;C Summary Backup'!M25</f>
        <v>6910292.7115266211</v>
      </c>
      <c r="E37" s="326">
        <f ca="1">'ES-2. B&amp;C Summary Backup'!N25</f>
        <v>2685598.543319609</v>
      </c>
      <c r="F37" s="326">
        <f t="shared" ca="1" si="0"/>
        <v>4568517.5550088771</v>
      </c>
      <c r="G37" s="326"/>
      <c r="H37" s="325">
        <f>'ES-2. B&amp;C Summary Backup'!G71</f>
        <v>413064</v>
      </c>
      <c r="I37" s="326">
        <f t="shared" si="1"/>
        <v>160193.34084358028</v>
      </c>
      <c r="J37" s="326">
        <f t="shared" si="2"/>
        <v>273083.96534266212</v>
      </c>
    </row>
    <row r="38" spans="2:10">
      <c r="B38" s="324">
        <v>15</v>
      </c>
      <c r="C38" s="324">
        <f t="shared" si="3"/>
        <v>2037</v>
      </c>
      <c r="D38" s="327">
        <f ca="1">'ES-2. B&amp;C Summary Backup'!M26</f>
        <v>7076133.3907058258</v>
      </c>
      <c r="E38" s="326">
        <f ca="1">'ES-2. B&amp;C Summary Backup'!N26</f>
        <v>2570858.3910772461</v>
      </c>
      <c r="F38" s="326">
        <f t="shared" ca="1" si="0"/>
        <v>4541900.7581973802</v>
      </c>
      <c r="G38" s="326"/>
      <c r="H38" s="325">
        <f>'ES-2. B&amp;C Summary Backup'!G72</f>
        <v>413064</v>
      </c>
      <c r="I38" s="326">
        <f t="shared" si="1"/>
        <v>149713.40265755166</v>
      </c>
      <c r="J38" s="326">
        <f t="shared" si="2"/>
        <v>265130.06343947782</v>
      </c>
    </row>
    <row r="39" spans="2:10">
      <c r="B39" s="324">
        <v>16</v>
      </c>
      <c r="C39" s="324">
        <f t="shared" si="3"/>
        <v>2038</v>
      </c>
      <c r="D39" s="327">
        <f ca="1">'ES-2. B&amp;C Summary Backup'!M27</f>
        <v>7241695.8698850311</v>
      </c>
      <c r="E39" s="326">
        <f ca="1">'ES-2. B&amp;C Summary Backup'!N27</f>
        <v>2459539.6171678742</v>
      </c>
      <c r="F39" s="326">
        <f t="shared" ca="1" si="0"/>
        <v>4512785.4499991983</v>
      </c>
      <c r="G39" s="326"/>
      <c r="H39" s="325">
        <f>'ES-2. B&amp;C Summary Backup'!G73</f>
        <v>413064</v>
      </c>
      <c r="I39" s="326">
        <f t="shared" si="1"/>
        <v>139919.0679042539</v>
      </c>
      <c r="J39" s="326">
        <f t="shared" si="2"/>
        <v>257407.82858201733</v>
      </c>
    </row>
    <row r="40" spans="2:10">
      <c r="B40" s="324">
        <v>17</v>
      </c>
      <c r="C40" s="324">
        <f t="shared" si="3"/>
        <v>2039</v>
      </c>
      <c r="D40" s="327">
        <f ca="1">'ES-2. B&amp;C Summary Backup'!M28</f>
        <v>7407276.4157309011</v>
      </c>
      <c r="E40" s="326">
        <f ca="1">'ES-2. B&amp;C Summary Backup'!N28</f>
        <v>2351856.1847113334</v>
      </c>
      <c r="F40" s="326">
        <f t="shared" ca="1" si="0"/>
        <v>4481524.0504353056</v>
      </c>
      <c r="G40" s="326"/>
      <c r="H40" s="325">
        <f>'ES-2. B&amp;C Summary Backup'!G74</f>
        <v>413064</v>
      </c>
      <c r="I40" s="326">
        <f t="shared" si="1"/>
        <v>130765.48402266719</v>
      </c>
      <c r="J40" s="326">
        <f t="shared" si="2"/>
        <v>249910.51318642459</v>
      </c>
    </row>
    <row r="41" spans="2:10">
      <c r="B41" s="324">
        <v>18</v>
      </c>
      <c r="C41" s="324">
        <f t="shared" si="3"/>
        <v>2040</v>
      </c>
      <c r="D41" s="327">
        <f ca="1">'ES-2. B&amp;C Summary Backup'!M29</f>
        <v>7572875.0282434393</v>
      </c>
      <c r="E41" s="326">
        <f ca="1">'ES-2. B&amp;C Summary Backup'!N29</f>
        <v>2247808.323804114</v>
      </c>
      <c r="F41" s="326">
        <f t="shared" ca="1" si="0"/>
        <v>4448265.9557422008</v>
      </c>
      <c r="G41" s="326"/>
      <c r="H41" s="325">
        <f>'ES-2. B&amp;C Summary Backup'!G75</f>
        <v>413064</v>
      </c>
      <c r="I41" s="326">
        <f t="shared" si="1"/>
        <v>122210.73273146467</v>
      </c>
      <c r="J41" s="326">
        <f t="shared" si="2"/>
        <v>242631.5662004122</v>
      </c>
    </row>
    <row r="42" spans="2:10">
      <c r="B42" s="324">
        <v>19</v>
      </c>
      <c r="C42" s="324">
        <f t="shared" si="3"/>
        <v>2041</v>
      </c>
      <c r="D42" s="327">
        <f ca="1">'ES-2. B&amp;C Summary Backup'!M30</f>
        <v>7738491.7074226439</v>
      </c>
      <c r="E42" s="326">
        <f ca="1">'ES-2. B&amp;C Summary Backup'!N30</f>
        <v>2147380.659828905</v>
      </c>
      <c r="F42" s="326">
        <f t="shared" ca="1" si="0"/>
        <v>4413153.6893430892</v>
      </c>
      <c r="G42" s="326"/>
      <c r="H42" s="325">
        <f>'ES-2. B&amp;C Summary Backup'!G76</f>
        <v>413064</v>
      </c>
      <c r="I42" s="326">
        <f t="shared" si="1"/>
        <v>114215.6380667894</v>
      </c>
      <c r="J42" s="326">
        <f t="shared" si="2"/>
        <v>235564.62737904099</v>
      </c>
    </row>
    <row r="43" spans="2:10">
      <c r="B43" s="324">
        <v>20</v>
      </c>
      <c r="C43" s="324">
        <f t="shared" si="3"/>
        <v>2042</v>
      </c>
      <c r="D43" s="327">
        <f ca="1">'ES-2. B&amp;C Summary Backup'!M31</f>
        <v>7904476.9199351817</v>
      </c>
      <c r="E43" s="326">
        <f ca="1">'ES-2. B&amp;C Summary Backup'!N31</f>
        <v>2050738.3000731079</v>
      </c>
      <c r="F43" s="326">
        <f t="shared" ca="1" si="0"/>
        <v>4376517.2200935902</v>
      </c>
      <c r="G43" s="326"/>
      <c r="H43" s="325">
        <f>'ES-2. B&amp;C Summary Backup'!G77</f>
        <v>413064</v>
      </c>
      <c r="I43" s="326">
        <f t="shared" si="1"/>
        <v>106743.58697830787</v>
      </c>
      <c r="J43" s="326">
        <f t="shared" si="2"/>
        <v>228703.52172722426</v>
      </c>
    </row>
    <row r="44" spans="2:10">
      <c r="B44" s="324">
        <v>21</v>
      </c>
      <c r="C44" s="324">
        <f t="shared" si="3"/>
        <v>2043</v>
      </c>
      <c r="D44" s="327">
        <f ca="1">'ES-2. B&amp;C Summary Backup'!M32</f>
        <v>8070138.7657810524</v>
      </c>
      <c r="E44" s="326">
        <f ca="1">'ES-2. B&amp;C Summary Backup'!N32</f>
        <v>1957451.6995499593</v>
      </c>
      <c r="F44" s="326">
        <f t="shared" ca="1" si="0"/>
        <v>4338097.2500312654</v>
      </c>
      <c r="G44" s="326"/>
      <c r="H44" s="325">
        <f>'ES-2. B&amp;C Summary Backup'!G78</f>
        <v>413064</v>
      </c>
      <c r="I44" s="326">
        <f t="shared" si="1"/>
        <v>99760.361661969961</v>
      </c>
      <c r="J44" s="326">
        <f t="shared" si="2"/>
        <v>222042.25410410124</v>
      </c>
    </row>
    <row r="45" spans="2:10">
      <c r="B45" s="324">
        <v>22</v>
      </c>
      <c r="C45" s="324">
        <f t="shared" si="3"/>
        <v>2044</v>
      </c>
      <c r="D45" s="327">
        <f ca="1">'ES-2. B&amp;C Summary Backup'!M33</f>
        <v>8235818.6782935914</v>
      </c>
      <c r="E45" s="326">
        <f ca="1">'ES-2. B&amp;C Summary Backup'!N33</f>
        <v>1867664.8583491717</v>
      </c>
      <c r="F45" s="326">
        <f t="shared" ca="1" si="0"/>
        <v>4298212.0068301521</v>
      </c>
      <c r="G45" s="326"/>
      <c r="H45" s="325">
        <f>'ES-2. B&amp;C Summary Backup'!G79</f>
        <v>413064</v>
      </c>
      <c r="I45" s="326">
        <f t="shared" si="1"/>
        <v>93233.982861654164</v>
      </c>
      <c r="J45" s="326">
        <f t="shared" si="2"/>
        <v>215575.0039845643</v>
      </c>
    </row>
    <row r="46" spans="2:10">
      <c r="B46" s="324">
        <v>23</v>
      </c>
      <c r="C46" s="324">
        <f t="shared" si="3"/>
        <v>2045</v>
      </c>
      <c r="D46" s="327">
        <f ca="1">'ES-2. B&amp;C Summary Backup'!M34</f>
        <v>8401516.6574727967</v>
      </c>
      <c r="E46" s="326">
        <f ca="1">'ES-2. B&amp;C Summary Backup'!N34</f>
        <v>1781318.4899011625</v>
      </c>
      <c r="F46" s="326">
        <f t="shared" ca="1" si="0"/>
        <v>4256979.1646360951</v>
      </c>
      <c r="G46" s="326"/>
      <c r="H46" s="325">
        <f>'ES-2. B&amp;C Summary Backup'!G80</f>
        <v>413064</v>
      </c>
      <c r="I46" s="326">
        <f t="shared" si="1"/>
        <v>87134.563422106701</v>
      </c>
      <c r="J46" s="326">
        <f t="shared" si="2"/>
        <v>209296.1203733634</v>
      </c>
    </row>
    <row r="47" spans="2:10">
      <c r="B47" s="324">
        <v>24</v>
      </c>
      <c r="C47" s="324">
        <f t="shared" si="3"/>
        <v>2046</v>
      </c>
      <c r="D47" s="327">
        <f ca="1">'ES-2. B&amp;C Summary Backup'!M35</f>
        <v>8567232.7033186667</v>
      </c>
      <c r="E47" s="326">
        <f ca="1">'ES-2. B&amp;C Summary Backup'!N35</f>
        <v>1698346.0751081896</v>
      </c>
      <c r="F47" s="326">
        <f t="shared" ca="1" si="0"/>
        <v>4214510.7938335873</v>
      </c>
      <c r="G47" s="326"/>
      <c r="H47" s="325">
        <f>'ES-2. B&amp;C Summary Backup'!G81</f>
        <v>413064</v>
      </c>
      <c r="I47" s="326">
        <f t="shared" si="1"/>
        <v>81434.171422529616</v>
      </c>
      <c r="J47" s="326">
        <f t="shared" si="2"/>
        <v>203200.11686734314</v>
      </c>
    </row>
    <row r="48" spans="2:10">
      <c r="B48" s="324">
        <v>25</v>
      </c>
      <c r="C48" s="324">
        <f t="shared" si="3"/>
        <v>2047</v>
      </c>
      <c r="D48" s="327">
        <f ca="1">'ES-2. B&amp;C Summary Backup'!M36</f>
        <v>8733362.4491645396</v>
      </c>
      <c r="E48" s="326">
        <f ca="1">'ES-2. B&amp;C Summary Backup'!N36</f>
        <v>1618864.0199001324</v>
      </c>
      <c r="F48" s="326">
        <f t="shared" ca="1" si="0"/>
        <v>4171102.5441016322</v>
      </c>
      <c r="G48" s="326"/>
      <c r="H48" s="325">
        <f>'ES-2. B&amp;C Summary Backup'!G82</f>
        <v>413064</v>
      </c>
      <c r="I48" s="326">
        <f t="shared" si="1"/>
        <v>76106.702264046369</v>
      </c>
      <c r="J48" s="326">
        <f t="shared" si="2"/>
        <v>197281.66686149818</v>
      </c>
    </row>
    <row r="49" spans="2:10">
      <c r="B49" s="324">
        <v>26</v>
      </c>
      <c r="C49" s="324">
        <f t="shared" si="3"/>
        <v>2048</v>
      </c>
      <c r="D49" s="327">
        <f ca="1">'ES-2. B&amp;C Summary Backup'!M37</f>
        <v>8899123.6616770755</v>
      </c>
      <c r="E49" s="326">
        <f ca="1">'ES-2. B&amp;C Summary Backup'!N37</f>
        <v>1542415.5882924211</v>
      </c>
      <c r="F49" s="326">
        <f t="shared" ca="1" si="0"/>
        <v>4126476.7207428971</v>
      </c>
      <c r="G49" s="326"/>
      <c r="H49" s="325">
        <f>'ES-2. B&amp;C Summary Backup'!G83</f>
        <v>413064</v>
      </c>
      <c r="I49" s="326">
        <f t="shared" si="1"/>
        <v>71127.759125276993</v>
      </c>
      <c r="J49" s="326">
        <f t="shared" si="2"/>
        <v>191535.59889465841</v>
      </c>
    </row>
    <row r="50" spans="2:10">
      <c r="B50" s="324">
        <v>27</v>
      </c>
      <c r="C50" s="324">
        <f t="shared" si="3"/>
        <v>2049</v>
      </c>
      <c r="D50" s="327">
        <f ca="1">'ES-2. B&amp;C Summary Backup'!M38</f>
        <v>9064902.9408562817</v>
      </c>
      <c r="E50" s="326">
        <f ca="1">'ES-2. B&amp;C Summary Backup'!N38</f>
        <v>1469109.4632845193</v>
      </c>
      <c r="F50" s="326">
        <f t="shared" ca="1" si="0"/>
        <v>4080920.0955503415</v>
      </c>
      <c r="G50" s="326"/>
      <c r="H50" s="325">
        <f>'ES-2. B&amp;C Summary Backup'!G84</f>
        <v>413064</v>
      </c>
      <c r="I50" s="326">
        <f t="shared" si="1"/>
        <v>66474.54123857661</v>
      </c>
      <c r="J50" s="326">
        <f t="shared" si="2"/>
        <v>185956.89213073635</v>
      </c>
    </row>
    <row r="51" spans="2:10">
      <c r="B51" s="324">
        <v>28</v>
      </c>
      <c r="C51" s="324">
        <f t="shared" si="3"/>
        <v>2050</v>
      </c>
      <c r="D51" s="327">
        <f ca="1">'ES-2. B&amp;C Summary Backup'!M39</f>
        <v>9230700.2867021505</v>
      </c>
      <c r="E51" s="326">
        <f ca="1">'ES-2. B&amp;C Summary Backup'!N39</f>
        <v>1398861.0043253468</v>
      </c>
      <c r="F51" s="326">
        <f t="shared" ca="1" si="0"/>
        <v>4034524.5108010927</v>
      </c>
      <c r="G51" s="326"/>
      <c r="H51" s="325">
        <f>'ES-2. B&amp;C Summary Backup'!G85</f>
        <v>413064</v>
      </c>
      <c r="I51" s="326">
        <f t="shared" si="1"/>
        <v>62125.739475305258</v>
      </c>
      <c r="J51" s="326">
        <f t="shared" si="2"/>
        <v>180540.67197158869</v>
      </c>
    </row>
    <row r="52" spans="2:10">
      <c r="B52" s="324">
        <v>29</v>
      </c>
      <c r="C52" s="324">
        <f t="shared" si="3"/>
        <v>2051</v>
      </c>
      <c r="D52" s="327">
        <f ca="1">'ES-2. B&amp;C Summary Backup'!M40</f>
        <v>9396515.6992146913</v>
      </c>
      <c r="E52" s="326">
        <f ca="1">'ES-2. B&amp;C Summary Backup'!N40</f>
        <v>1331583.1895114703</v>
      </c>
      <c r="F52" s="326">
        <f t="shared" ca="1" si="0"/>
        <v>3987377.255269601</v>
      </c>
      <c r="G52" s="326"/>
      <c r="H52" s="325">
        <f>'ES-2. B&amp;C Summary Backup'!G86</f>
        <v>413064</v>
      </c>
      <c r="I52" s="326">
        <f t="shared" si="1"/>
        <v>58061.438761967525</v>
      </c>
      <c r="J52" s="326">
        <f t="shared" si="2"/>
        <v>175282.20579765894</v>
      </c>
    </row>
    <row r="53" spans="2:10">
      <c r="B53" s="324">
        <v>30</v>
      </c>
      <c r="C53" s="324">
        <f t="shared" si="3"/>
        <v>2052</v>
      </c>
      <c r="D53" s="327">
        <f ca="1">'ES-2. B&amp;C Summary Backup'!M41</f>
        <v>9560145.1783938948</v>
      </c>
      <c r="E53" s="326">
        <f ca="1">'ES-2. B&amp;C Summary Backup'!N41</f>
        <v>1266279.2712865984</v>
      </c>
      <c r="F53" s="326">
        <f t="shared" ca="1" si="0"/>
        <v>3938653.2325481223</v>
      </c>
      <c r="G53" s="326"/>
      <c r="H53" s="325">
        <f>'ES-2. B&amp;C Summary Backup'!G87</f>
        <v>413064</v>
      </c>
      <c r="I53" s="326">
        <f t="shared" si="1"/>
        <v>54263.026880343481</v>
      </c>
      <c r="J53" s="326">
        <f t="shared" si="2"/>
        <v>170176.89883267856</v>
      </c>
    </row>
    <row r="54" spans="2:10">
      <c r="B54" s="324">
        <v>31</v>
      </c>
      <c r="C54" s="324">
        <f t="shared" si="3"/>
        <v>2053</v>
      </c>
      <c r="D54" s="327">
        <f ca="1">'ES-2. B&amp;C Summary Backup'!M42</f>
        <v>9725951.5575730968</v>
      </c>
      <c r="E54" s="326">
        <f ca="1">'ES-2. B&amp;C Summary Backup'!N42</f>
        <v>1204683.8292071689</v>
      </c>
      <c r="F54" s="326">
        <f t="shared" ca="1" si="0"/>
        <v>3890255.59748857</v>
      </c>
      <c r="G54" s="326"/>
      <c r="H54" s="325">
        <f>'ES-2. B&amp;C Summary Backup'!G88</f>
        <v>413064</v>
      </c>
      <c r="I54" s="326">
        <f t="shared" si="1"/>
        <v>50713.109233965864</v>
      </c>
      <c r="J54" s="326">
        <f t="shared" si="2"/>
        <v>165220.29012881411</v>
      </c>
    </row>
    <row r="55" spans="2:10">
      <c r="B55" s="324">
        <v>32</v>
      </c>
      <c r="C55" s="324">
        <f t="shared" si="3"/>
        <v>2054</v>
      </c>
      <c r="D55" s="327">
        <f ca="1">'ES-2. B&amp;C Summary Backup'!M43</f>
        <v>9891776.0034189709</v>
      </c>
      <c r="E55" s="326">
        <f ca="1">'ES-2. B&amp;C Summary Backup'!N43</f>
        <v>1145790.3216033925</v>
      </c>
      <c r="F55" s="326">
        <f t="shared" ca="1" si="0"/>
        <v>3841342.9555149311</v>
      </c>
      <c r="G55" s="326"/>
      <c r="H55" s="325">
        <f>'ES-2. B&amp;C Summary Backup'!G89</f>
        <v>413064</v>
      </c>
      <c r="I55" s="326">
        <f t="shared" si="1"/>
        <v>47395.429190622308</v>
      </c>
      <c r="J55" s="326">
        <f t="shared" si="2"/>
        <v>160408.04866875161</v>
      </c>
    </row>
    <row r="56" spans="2:10">
      <c r="B56" s="324">
        <v>33</v>
      </c>
      <c r="C56" s="324">
        <f t="shared" si="3"/>
        <v>2055</v>
      </c>
      <c r="D56" s="327">
        <f ca="1">'ES-2. B&amp;C Summary Backup'!M44</f>
        <v>10057618.515931508</v>
      </c>
      <c r="E56" s="326">
        <f ca="1">'ES-2. B&amp;C Summary Backup'!N44</f>
        <v>1089508.1779465529</v>
      </c>
      <c r="F56" s="326">
        <f t="shared" ca="1" si="0"/>
        <v>3791986.160153274</v>
      </c>
      <c r="G56" s="326"/>
      <c r="H56" s="325">
        <f>'ES-2. B&amp;C Summary Backup'!G90</f>
        <v>413064</v>
      </c>
      <c r="I56" s="326">
        <f t="shared" si="1"/>
        <v>44294.793636095616</v>
      </c>
      <c r="J56" s="326">
        <f t="shared" si="2"/>
        <v>155735.96958131224</v>
      </c>
    </row>
    <row r="57" spans="2:10">
      <c r="B57" s="324">
        <v>34</v>
      </c>
      <c r="C57" s="324">
        <f t="shared" si="3"/>
        <v>2056</v>
      </c>
      <c r="D57" s="327">
        <f ca="1">'ES-2. B&amp;C Summary Backup'!M45</f>
        <v>10223479.095110713</v>
      </c>
      <c r="E57" s="326">
        <f ca="1">'ES-2. B&amp;C Summary Backup'!N45</f>
        <v>1035747.1094315065</v>
      </c>
      <c r="F57" s="326">
        <f t="shared" ca="1" si="0"/>
        <v>3742252.380390767</v>
      </c>
      <c r="G57" s="326"/>
      <c r="H57" s="325">
        <f>'ES-2. B&amp;C Summary Backup'!G91</f>
        <v>413064</v>
      </c>
      <c r="I57" s="326">
        <f t="shared" si="1"/>
        <v>41397.0033982202</v>
      </c>
      <c r="J57" s="326">
        <f t="shared" si="2"/>
        <v>151199.97046729346</v>
      </c>
    </row>
    <row r="58" spans="2:10">
      <c r="B58" s="324">
        <v>35</v>
      </c>
      <c r="C58" s="324">
        <f t="shared" si="3"/>
        <v>2057</v>
      </c>
      <c r="D58" s="327">
        <f ca="1">'ES-2. B&amp;C Summary Backup'!M46</f>
        <v>10389357.740956584</v>
      </c>
      <c r="E58" s="326">
        <f ca="1">'ES-2. B&amp;C Summary Backup'!N46</f>
        <v>984417.46031623508</v>
      </c>
      <c r="F58" s="326">
        <f t="shared" ca="1" si="0"/>
        <v>3692205.2550280225</v>
      </c>
      <c r="G58" s="326"/>
      <c r="H58" s="325">
        <f>'ES-2. B&amp;C Summary Backup'!G92</f>
        <v>413064</v>
      </c>
      <c r="I58" s="326">
        <f t="shared" si="1"/>
        <v>38688.788222635703</v>
      </c>
      <c r="J58" s="326">
        <f t="shared" si="2"/>
        <v>146796.08783232371</v>
      </c>
    </row>
    <row r="59" spans="2:10">
      <c r="B59" s="324">
        <v>36</v>
      </c>
      <c r="C59" s="324">
        <f t="shared" si="3"/>
        <v>2058</v>
      </c>
      <c r="D59" s="327">
        <f ca="1">'ES-2. B&amp;C Summary Backup'!M47</f>
        <v>10555254.453469124</v>
      </c>
      <c r="E59" s="326">
        <f ca="1">'ES-2. B&amp;C Summary Backup'!N47</f>
        <v>935430.51206454239</v>
      </c>
      <c r="F59" s="326">
        <f t="shared" ca="1" si="0"/>
        <v>3641905.0411708448</v>
      </c>
      <c r="G59" s="326"/>
      <c r="H59" s="325">
        <f>'ES-2. B&amp;C Summary Backup'!G93</f>
        <v>413064</v>
      </c>
      <c r="I59" s="326">
        <f t="shared" si="1"/>
        <v>36157.746002463275</v>
      </c>
      <c r="J59" s="326">
        <f t="shared" si="2"/>
        <v>142520.47362361525</v>
      </c>
    </row>
    <row r="60" spans="2:10">
      <c r="B60" t="s">
        <v>26</v>
      </c>
      <c r="C60"/>
      <c r="D60" s="177">
        <f ca="1">SUBTOTAL(109,Table76[Present Value (PV) Project Benefits])</f>
        <v>290062672.59445298</v>
      </c>
      <c r="E60" s="177">
        <f ca="1">SUBTOTAL(109,Table76[Project Benefits at 7% Discount Rate*])</f>
        <v>95203704.862088308</v>
      </c>
      <c r="F60" s="177">
        <f ca="1">SUBTOTAL(109,Table76[Project Benefits at 3% Discount Rate])</f>
        <v>167910698.48160008</v>
      </c>
      <c r="G60" s="177"/>
      <c r="H60" s="325">
        <f>SUBTOTAL(109,Table77[Present Value (PV) Project Costs])</f>
        <v>112823369.38394709</v>
      </c>
      <c r="I60" s="327">
        <f>SUBTOTAL(109,Table77[Project Costs at 7% Discount Rate])</f>
        <v>76109662.78465198</v>
      </c>
      <c r="J60" s="327">
        <f>SUBTOTAL(109,Table77[Project Costs at 3% Discount Rate])</f>
        <v>93936029.125351653</v>
      </c>
    </row>
    <row r="61" spans="2:10">
      <c r="G61" s="67"/>
    </row>
  </sheetData>
  <mergeCells count="4">
    <mergeCell ref="A1:J1"/>
    <mergeCell ref="B21:D21"/>
    <mergeCell ref="A6:J6"/>
    <mergeCell ref="B4:D4"/>
  </mergeCells>
  <phoneticPr fontId="25" type="noConversion"/>
  <pageMargins left="0.7" right="0.7" top="0.75" bottom="0.75" header="0.3" footer="0.3"/>
  <pageSetup scale="58" orientation="portrait" r:id="rId1"/>
  <drawing r:id="rId2"/>
  <tableParts count="3">
    <tablePart r:id="rId3"/>
    <tablePart r:id="rId4"/>
    <tablePart r:id="rId5"/>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0F53D-7F79-45DB-881E-7ABE73133FEF}">
  <sheetPr>
    <tabColor theme="0" tint="-0.249977111117893"/>
  </sheetPr>
  <dimension ref="A1:I106"/>
  <sheetViews>
    <sheetView showGridLines="0" view="pageBreakPreview" zoomScaleNormal="80" zoomScaleSheetLayoutView="100" workbookViewId="0">
      <selection activeCell="A3" sqref="A3:XFD3"/>
    </sheetView>
  </sheetViews>
  <sheetFormatPr defaultColWidth="9.140625" defaultRowHeight="12.75"/>
  <cols>
    <col min="1" max="1" width="21.7109375" style="61" customWidth="1"/>
    <col min="2" max="2" width="19" style="67" customWidth="1"/>
    <col min="3" max="8" width="15.7109375" style="67" customWidth="1"/>
    <col min="9" max="9" width="14.5703125" style="61" customWidth="1"/>
    <col min="10" max="15" width="9.140625" style="61"/>
    <col min="16" max="16" width="16.140625" style="61" bestFit="1" customWidth="1"/>
    <col min="17" max="16384" width="9.140625" style="61"/>
  </cols>
  <sheetData>
    <row r="1" spans="1:9" ht="15" customHeight="1">
      <c r="A1" s="447" t="s">
        <v>207</v>
      </c>
      <c r="B1" s="447"/>
      <c r="C1" s="447"/>
      <c r="D1" s="447"/>
      <c r="E1" s="447"/>
      <c r="F1" s="447"/>
      <c r="G1" s="447"/>
      <c r="H1" s="447"/>
      <c r="I1" s="447"/>
    </row>
    <row r="2" spans="1:9" ht="15" customHeight="1">
      <c r="A2" s="140" t="s">
        <v>1</v>
      </c>
      <c r="B2" s="63" t="str">
        <f>Project_Name</f>
        <v>Right-Sizing Route 37: Improving Community Connectivity</v>
      </c>
      <c r="I2" s="67"/>
    </row>
    <row r="3" spans="1:9" ht="15" hidden="1" customHeight="1">
      <c r="A3" s="140" t="s">
        <v>2</v>
      </c>
      <c r="B3" s="63"/>
      <c r="I3" s="67"/>
    </row>
    <row r="4" spans="1:9" ht="15" customHeight="1">
      <c r="A4" s="140" t="s">
        <v>3</v>
      </c>
      <c r="B4" s="64">
        <f>Date</f>
        <v>44985</v>
      </c>
      <c r="I4" s="67"/>
    </row>
    <row r="5" spans="1:9" ht="30" customHeight="1">
      <c r="A5" s="67"/>
      <c r="I5" s="67"/>
    </row>
    <row r="6" spans="1:9">
      <c r="A6" s="67"/>
      <c r="I6" s="67"/>
    </row>
    <row r="7" spans="1:9">
      <c r="A7" s="139"/>
      <c r="B7" s="104"/>
      <c r="C7" s="104"/>
      <c r="D7" s="104"/>
      <c r="E7" s="104"/>
      <c r="F7" s="104"/>
      <c r="G7" s="104"/>
      <c r="H7" s="104"/>
      <c r="I7" s="139"/>
    </row>
    <row r="8" spans="1:9">
      <c r="B8" s="63" t="s">
        <v>208</v>
      </c>
    </row>
    <row r="9" spans="1:9">
      <c r="A9" s="67"/>
      <c r="B9" s="397"/>
      <c r="C9" s="397"/>
      <c r="D9" s="397"/>
      <c r="E9" s="397"/>
      <c r="F9" s="397"/>
      <c r="G9" s="397"/>
      <c r="H9" s="397"/>
    </row>
    <row r="10" spans="1:9" ht="25.5">
      <c r="A10" s="67"/>
      <c r="B10" s="123" t="s">
        <v>178</v>
      </c>
      <c r="C10" s="123" t="s">
        <v>179</v>
      </c>
      <c r="D10" s="123" t="s">
        <v>180</v>
      </c>
      <c r="E10" s="123" t="s">
        <v>181</v>
      </c>
      <c r="F10" s="123" t="s">
        <v>182</v>
      </c>
      <c r="G10" s="123" t="s">
        <v>183</v>
      </c>
      <c r="H10" s="123" t="s">
        <v>184</v>
      </c>
    </row>
    <row r="11" spans="1:9">
      <c r="A11" s="67"/>
      <c r="B11" s="143">
        <v>0.25</v>
      </c>
      <c r="C11" s="347">
        <v>1371</v>
      </c>
      <c r="D11" s="347">
        <v>1079.32</v>
      </c>
      <c r="E11" s="347">
        <v>30.628805555555555</v>
      </c>
      <c r="F11" s="347">
        <v>35.24</v>
      </c>
      <c r="G11" s="347">
        <v>2.7173944444444444</v>
      </c>
      <c r="H11" s="348">
        <f>Table3C.1_57TTS_NB[[#This Row],[Total Delay (hr)]]/Table3C.1_57TTS_NB[[#This Row],[Total Vehicles in Network]]</f>
        <v>1.9820528405867575E-3</v>
      </c>
    </row>
    <row r="12" spans="1:9">
      <c r="A12" s="67"/>
      <c r="B12" s="143">
        <v>0.29166666666666702</v>
      </c>
      <c r="C12" s="347">
        <v>5112</v>
      </c>
      <c r="D12" s="347">
        <v>4103.41</v>
      </c>
      <c r="E12" s="347">
        <v>159.67748333333333</v>
      </c>
      <c r="F12" s="347">
        <v>25.87</v>
      </c>
      <c r="G12" s="347">
        <v>53.008786111111114</v>
      </c>
      <c r="H12" s="348">
        <f>Table3C.1_57TTS_NB[[#This Row],[Total Delay (hr)]]/Table3C.1_57TTS_NB[[#This Row],[Total Vehicles in Network]]</f>
        <v>1.0369480851156321E-2</v>
      </c>
    </row>
    <row r="13" spans="1:9">
      <c r="A13" s="67"/>
      <c r="B13" s="143">
        <v>0.33333333333333298</v>
      </c>
      <c r="C13" s="347">
        <v>3329</v>
      </c>
      <c r="D13" s="347">
        <v>2628.5</v>
      </c>
      <c r="E13" s="347">
        <v>82.058816666666658</v>
      </c>
      <c r="F13" s="347">
        <v>32.130000000000003</v>
      </c>
      <c r="G13" s="347">
        <v>13.903625000000002</v>
      </c>
      <c r="H13" s="348">
        <f>Table3C.1_57TTS_NB[[#This Row],[Total Delay (hr)]]/Table3C.1_57TTS_NB[[#This Row],[Total Vehicles in Network]]</f>
        <v>4.1765169720636829E-3</v>
      </c>
    </row>
    <row r="14" spans="1:9">
      <c r="A14" s="67"/>
      <c r="B14" s="143">
        <v>0.375</v>
      </c>
      <c r="C14" s="347">
        <v>4889</v>
      </c>
      <c r="D14" s="347">
        <v>3938.82</v>
      </c>
      <c r="E14" s="347">
        <v>134.41057222222221</v>
      </c>
      <c r="F14" s="347">
        <v>29.36</v>
      </c>
      <c r="G14" s="347">
        <v>31.962644444444447</v>
      </c>
      <c r="H14" s="348">
        <f>Table3C.1_57TTS_NB[[#This Row],[Total Delay (hr)]]/Table3C.1_57TTS_NB[[#This Row],[Total Vehicles in Network]]</f>
        <v>6.537665053066976E-3</v>
      </c>
    </row>
    <row r="15" spans="1:9">
      <c r="A15" s="67"/>
      <c r="B15" s="143">
        <v>0.41666666666666702</v>
      </c>
      <c r="C15" s="347">
        <v>3673</v>
      </c>
      <c r="D15" s="347">
        <v>2988.88</v>
      </c>
      <c r="E15" s="347">
        <v>92.643761111111104</v>
      </c>
      <c r="F15" s="347">
        <v>32.270000000000003</v>
      </c>
      <c r="G15" s="347">
        <v>14.483611111111111</v>
      </c>
      <c r="H15" s="348">
        <f>Table3C.1_57TTS_NB[[#This Row],[Total Delay (hr)]]/Table3C.1_57TTS_NB[[#This Row],[Total Vehicles in Network]]</f>
        <v>3.9432646640650999E-3</v>
      </c>
    </row>
    <row r="16" spans="1:9">
      <c r="A16" s="67"/>
      <c r="B16" s="143">
        <v>0.45833333333333298</v>
      </c>
      <c r="C16" s="347">
        <v>3656</v>
      </c>
      <c r="D16" s="347">
        <v>2966.82</v>
      </c>
      <c r="E16" s="347">
        <v>91.260338888888882</v>
      </c>
      <c r="F16" s="347">
        <v>32.54</v>
      </c>
      <c r="G16" s="347">
        <v>13.783916666666666</v>
      </c>
      <c r="H16" s="348">
        <f>Table3C.1_57TTS_NB[[#This Row],[Total Delay (hr)]]/Table3C.1_57TTS_NB[[#This Row],[Total Vehicles in Network]]</f>
        <v>3.770217906637491E-3</v>
      </c>
    </row>
    <row r="17" spans="1:8">
      <c r="A17" s="67"/>
      <c r="B17" s="143">
        <v>0.5</v>
      </c>
      <c r="C17" s="347">
        <v>3785</v>
      </c>
      <c r="D17" s="347">
        <v>3102</v>
      </c>
      <c r="E17" s="347">
        <v>97.250211111111113</v>
      </c>
      <c r="F17" s="347">
        <v>31.94</v>
      </c>
      <c r="G17" s="347">
        <v>16.054286111111111</v>
      </c>
      <c r="H17" s="348">
        <f>Table3C.1_57TTS_NB[[#This Row],[Total Delay (hr)]]/Table3C.1_57TTS_NB[[#This Row],[Total Vehicles in Network]]</f>
        <v>4.2415551152209015E-3</v>
      </c>
    </row>
    <row r="18" spans="1:8">
      <c r="A18" s="67"/>
      <c r="B18" s="143">
        <v>0.54166666666666696</v>
      </c>
      <c r="C18" s="347">
        <v>4030</v>
      </c>
      <c r="D18" s="347">
        <v>3196.7</v>
      </c>
      <c r="E18" s="347">
        <v>102.00282777777778</v>
      </c>
      <c r="F18" s="347">
        <v>31.34</v>
      </c>
      <c r="G18" s="347">
        <v>17.311283333333336</v>
      </c>
      <c r="H18" s="348">
        <f>Table3C.1_57TTS_NB[[#This Row],[Total Delay (hr)]]/Table3C.1_57TTS_NB[[#This Row],[Total Vehicles in Network]]</f>
        <v>4.295603804797354E-3</v>
      </c>
    </row>
    <row r="19" spans="1:8">
      <c r="A19" s="67"/>
      <c r="B19" s="143">
        <v>0.58333333333333304</v>
      </c>
      <c r="C19" s="347">
        <v>4449</v>
      </c>
      <c r="D19" s="347">
        <v>3454.83</v>
      </c>
      <c r="E19" s="347">
        <v>113.02802222222222</v>
      </c>
      <c r="F19" s="347">
        <v>30.58</v>
      </c>
      <c r="G19" s="347">
        <v>21.548708333333334</v>
      </c>
      <c r="H19" s="348">
        <f>Table3C.1_57TTS_NB[[#This Row],[Total Delay (hr)]]/Table3C.1_57TTS_NB[[#This Row],[Total Vehicles in Network]]</f>
        <v>4.8434947928373421E-3</v>
      </c>
    </row>
    <row r="20" spans="1:8">
      <c r="A20" s="67"/>
      <c r="B20" s="143">
        <v>0.625</v>
      </c>
      <c r="C20" s="347">
        <v>5104</v>
      </c>
      <c r="D20" s="347">
        <v>3980.61</v>
      </c>
      <c r="E20" s="347">
        <v>171.17415555555556</v>
      </c>
      <c r="F20" s="347">
        <v>24.86</v>
      </c>
      <c r="G20" s="347">
        <v>65.505016666666663</v>
      </c>
      <c r="H20" s="348">
        <f>Table3C.1_57TTS_NB[[#This Row],[Total Delay (hr)]]/Table3C.1_57TTS_NB[[#This Row],[Total Vehicles in Network]]</f>
        <v>1.2834054989550678E-2</v>
      </c>
    </row>
    <row r="21" spans="1:8">
      <c r="A21" s="67"/>
      <c r="B21" s="143">
        <v>0.66666666666666696</v>
      </c>
      <c r="C21" s="347">
        <v>5476</v>
      </c>
      <c r="D21" s="347">
        <v>4199.1400000000003</v>
      </c>
      <c r="E21" s="347">
        <v>255.50795555555555</v>
      </c>
      <c r="F21" s="347">
        <v>17.93</v>
      </c>
      <c r="G21" s="347">
        <v>144.16708333333332</v>
      </c>
      <c r="H21" s="348">
        <f>Table3C.1_57TTS_NB[[#This Row],[Total Delay (hr)]]/Table3C.1_57TTS_NB[[#This Row],[Total Vehicles in Network]]</f>
        <v>2.6327078767957146E-2</v>
      </c>
    </row>
    <row r="22" spans="1:8">
      <c r="A22" s="67"/>
      <c r="B22" s="143">
        <v>0.70833333333333304</v>
      </c>
      <c r="C22" s="347">
        <v>5517</v>
      </c>
      <c r="D22" s="347">
        <v>4154.01</v>
      </c>
      <c r="E22" s="347">
        <v>328.56647222222222</v>
      </c>
      <c r="F22" s="347">
        <v>12.94</v>
      </c>
      <c r="G22" s="347">
        <v>218.49920555555556</v>
      </c>
      <c r="H22" s="348">
        <f>Table3C.1_57TTS_NB[[#This Row],[Total Delay (hr)]]/Table3C.1_57TTS_NB[[#This Row],[Total Vehicles in Network]]</f>
        <v>3.9604713713169398E-2</v>
      </c>
    </row>
    <row r="23" spans="1:8">
      <c r="A23" s="67"/>
      <c r="B23" s="143">
        <v>0.75</v>
      </c>
      <c r="C23" s="347">
        <v>5328</v>
      </c>
      <c r="D23" s="347">
        <v>4019.45</v>
      </c>
      <c r="E23" s="347">
        <v>339.19262777777777</v>
      </c>
      <c r="F23" s="347">
        <v>12.03</v>
      </c>
      <c r="G23" s="347">
        <v>232.33389722222222</v>
      </c>
      <c r="H23" s="348">
        <f>Table3C.1_57TTS_NB[[#This Row],[Total Delay (hr)]]/Table3C.1_57TTS_NB[[#This Row],[Total Vehicles in Network]]</f>
        <v>4.3606211941107774E-2</v>
      </c>
    </row>
    <row r="24" spans="1:8">
      <c r="A24" s="67"/>
      <c r="B24" s="143">
        <v>0.79166666666666663</v>
      </c>
      <c r="C24" s="347">
        <v>4543</v>
      </c>
      <c r="D24" s="347">
        <v>3590.44</v>
      </c>
      <c r="E24" s="347">
        <v>271.01505000000003</v>
      </c>
      <c r="F24" s="347">
        <v>13.94</v>
      </c>
      <c r="G24" s="347">
        <v>175.31652777777776</v>
      </c>
      <c r="H24" s="348">
        <f>Table3C.1_57TTS_NB[[#This Row],[Total Delay (hr)]]/Table3C.1_57TTS_NB[[#This Row],[Total Vehicles in Network]]</f>
        <v>3.8590474967593609E-2</v>
      </c>
    </row>
    <row r="25" spans="1:8">
      <c r="A25" s="67"/>
      <c r="B25" s="143">
        <v>0.83333333333333337</v>
      </c>
      <c r="C25" s="347">
        <v>3134</v>
      </c>
      <c r="D25" s="347">
        <v>2445.7399999999998</v>
      </c>
      <c r="E25" s="347">
        <v>125.16021111111111</v>
      </c>
      <c r="F25" s="347">
        <v>27.12</v>
      </c>
      <c r="G25" s="347">
        <v>60.105841666666663</v>
      </c>
      <c r="H25" s="348">
        <f>Table3C.1_57TTS_NB[[#This Row],[Total Delay (hr)]]/Table3C.1_57TTS_NB[[#This Row],[Total Vehicles in Network]]</f>
        <v>1.9178634864922356E-2</v>
      </c>
    </row>
    <row r="26" spans="1:8">
      <c r="A26" s="67"/>
      <c r="B26" s="131" t="s">
        <v>26</v>
      </c>
      <c r="C26" s="153">
        <f>SUBTOTAL(109,Table3C.1_57TTS_NB[Total Vehicles in Network])</f>
        <v>63396</v>
      </c>
      <c r="D26" s="153">
        <f>SUBTOTAL(109,Table3C.1_57TTS_NB[VMT: Total Path Distance (mi)])</f>
        <v>49848.67</v>
      </c>
      <c r="E26" s="153">
        <f>SUBTOTAL(109,Table3C.1_57TTS_NB[VHT: Total Time in Network (hr)])</f>
        <v>2393.5773111111112</v>
      </c>
      <c r="F26" s="153">
        <f>SUBTOTAL(101,Table3C.1_57TTS_NB[Average Speed (mph)])</f>
        <v>26.005999999999997</v>
      </c>
      <c r="G26" s="153">
        <f>SUBTOTAL(109,Table3C.1_57TTS_NB[Total Delay (hr)])</f>
        <v>1080.7018277777779</v>
      </c>
      <c r="H26" s="369">
        <f>SUBTOTAL(101,Table3C.1_57TTS_NB[Average Delay (hr/veh)])</f>
        <v>1.4953401416315525E-2</v>
      </c>
    </row>
    <row r="27" spans="1:8">
      <c r="A27" s="67"/>
    </row>
    <row r="28" spans="1:8">
      <c r="A28" s="67"/>
      <c r="B28" s="122" t="s">
        <v>209</v>
      </c>
      <c r="C28" s="89"/>
      <c r="D28" s="89"/>
      <c r="E28" s="89"/>
      <c r="F28" s="89"/>
      <c r="G28" s="89"/>
      <c r="H28" s="89"/>
    </row>
    <row r="29" spans="1:8" ht="12.75" customHeight="1">
      <c r="A29" s="67"/>
      <c r="B29" s="397"/>
      <c r="C29" s="397"/>
      <c r="D29" s="397"/>
      <c r="E29" s="397"/>
      <c r="F29" s="397"/>
      <c r="G29" s="397"/>
      <c r="H29" s="397"/>
    </row>
    <row r="30" spans="1:8" ht="25.5">
      <c r="A30" s="67"/>
      <c r="B30" s="123" t="s">
        <v>178</v>
      </c>
      <c r="C30" s="123" t="s">
        <v>186</v>
      </c>
      <c r="D30" s="84" t="s">
        <v>187</v>
      </c>
      <c r="E30" s="123" t="s">
        <v>188</v>
      </c>
      <c r="F30" s="123" t="s">
        <v>189</v>
      </c>
      <c r="G30" s="123" t="s">
        <v>190</v>
      </c>
      <c r="H30" s="123" t="s">
        <v>191</v>
      </c>
    </row>
    <row r="31" spans="1:8">
      <c r="A31" s="67"/>
      <c r="B31" s="143">
        <v>0.25</v>
      </c>
      <c r="C31" s="157">
        <v>0.9653846153846154</v>
      </c>
      <c r="D31" s="157">
        <v>3.4615384615384617E-2</v>
      </c>
      <c r="E31" s="158">
        <f>C11*Table3C.2_57_Delay_NB[[#This Row],[Car Traffic Share]]</f>
        <v>1323.5423076923078</v>
      </c>
      <c r="F31" s="158">
        <f>H11*Table3C.2_57_Delay_NB[[#This Row],[Car Traffic]]</f>
        <v>2.623330790598291</v>
      </c>
      <c r="G31" s="158">
        <f>C11*Table3C.2_57_Delay_NB[[#This Row],[Truck Traffic Share]]</f>
        <v>47.457692307692312</v>
      </c>
      <c r="H31" s="158">
        <f>H11*Table3C.2_57_Delay_NB[[#This Row],[Truck Traffic]]</f>
        <v>9.4063653846153866E-2</v>
      </c>
    </row>
    <row r="32" spans="1:8">
      <c r="A32" s="67"/>
      <c r="B32" s="143">
        <v>0.29166666666666702</v>
      </c>
      <c r="C32" s="157">
        <v>0.96461538461538465</v>
      </c>
      <c r="D32" s="157">
        <v>3.5384615384615382E-2</v>
      </c>
      <c r="E32" s="158">
        <f>C12*Table3C.2_57_Delay_NB[[#This Row],[Car Traffic Share]]</f>
        <v>4931.1138461538467</v>
      </c>
      <c r="F32" s="158">
        <f>H12*Table3C.2_57_Delay_NB[[#This Row],[Car Traffic]]</f>
        <v>51.13309060256411</v>
      </c>
      <c r="G32" s="158">
        <f>C12*Table3C.2_57_Delay_NB[[#This Row],[Truck Traffic Share]]</f>
        <v>180.88615384615383</v>
      </c>
      <c r="H32" s="158">
        <f>H12*Table3C.2_57_Delay_NB[[#This Row],[Truck Traffic]]</f>
        <v>1.8756955085470084</v>
      </c>
    </row>
    <row r="33" spans="1:8">
      <c r="A33" s="67"/>
      <c r="B33" s="143">
        <v>0.33333333333333298</v>
      </c>
      <c r="C33" s="157">
        <v>0.97201767304860087</v>
      </c>
      <c r="D33" s="157">
        <v>2.7982326951399118E-2</v>
      </c>
      <c r="E33" s="158">
        <f>C13*Table3C.2_57_Delay_NB[[#This Row],[Car Traffic Share]]</f>
        <v>3235.8468335787925</v>
      </c>
      <c r="F33" s="158">
        <f>H13*Table3C.2_57_Delay_NB[[#This Row],[Car Traffic]]</f>
        <v>13.514569219440354</v>
      </c>
      <c r="G33" s="158">
        <f>C13*Table3C.2_57_Delay_NB[[#This Row],[Truck Traffic Share]]</f>
        <v>93.153166421207658</v>
      </c>
      <c r="H33" s="158">
        <f>H13*Table3C.2_57_Delay_NB[[#This Row],[Truck Traffic]]</f>
        <v>0.38905578055964657</v>
      </c>
    </row>
    <row r="34" spans="1:8">
      <c r="A34" s="67"/>
      <c r="B34" s="143">
        <v>0.375</v>
      </c>
      <c r="C34" s="157">
        <v>0.9516483516483516</v>
      </c>
      <c r="D34" s="157">
        <v>4.8351648351648353E-2</v>
      </c>
      <c r="E34" s="158">
        <f>C14*Table3C.2_57_Delay_NB[[#This Row],[Car Traffic Share]]</f>
        <v>4652.6087912087905</v>
      </c>
      <c r="F34" s="158">
        <f>H14*Table3C.2_57_Delay_NB[[#This Row],[Car Traffic]]</f>
        <v>30.417197899877895</v>
      </c>
      <c r="G34" s="158">
        <f>C14*Table3C.2_57_Delay_NB[[#This Row],[Truck Traffic Share]]</f>
        <v>236.39120879120881</v>
      </c>
      <c r="H34" s="158">
        <f>H14*Table3C.2_57_Delay_NB[[#This Row],[Truck Traffic]]</f>
        <v>1.5454465445665448</v>
      </c>
    </row>
    <row r="35" spans="1:8">
      <c r="A35" s="67"/>
      <c r="B35" s="143">
        <v>0.41666666666666702</v>
      </c>
      <c r="C35" s="157">
        <v>0.98189134808853118</v>
      </c>
      <c r="D35" s="157">
        <v>1.8108651911468814E-2</v>
      </c>
      <c r="E35" s="158">
        <f>C15*Table3C.2_57_Delay_NB[[#This Row],[Car Traffic Share]]</f>
        <v>3606.4869215291751</v>
      </c>
      <c r="F35" s="158">
        <f>H15*Table3C.2_57_Delay_NB[[#This Row],[Car Traffic]]</f>
        <v>14.221332439078919</v>
      </c>
      <c r="G35" s="158">
        <f>C15*Table3C.2_57_Delay_NB[[#This Row],[Truck Traffic Share]]</f>
        <v>66.513078470824951</v>
      </c>
      <c r="H35" s="158">
        <f>H15*Table3C.2_57_Delay_NB[[#This Row],[Truck Traffic]]</f>
        <v>0.26227867203219318</v>
      </c>
    </row>
    <row r="36" spans="1:8">
      <c r="A36" s="67"/>
      <c r="B36" s="143">
        <v>0.45833333333333298</v>
      </c>
      <c r="C36" s="157">
        <v>0.97908745247148288</v>
      </c>
      <c r="D36" s="157">
        <v>2.0912547528517109E-2</v>
      </c>
      <c r="E36" s="158">
        <f>C16*Table3C.2_57_Delay_NB[[#This Row],[Car Traffic Share]]</f>
        <v>3579.5437262357414</v>
      </c>
      <c r="F36" s="158">
        <f>H16*Table3C.2_57_Delay_NB[[#This Row],[Car Traffic]]</f>
        <v>13.495659854245881</v>
      </c>
      <c r="G36" s="158">
        <f>C16*Table3C.2_57_Delay_NB[[#This Row],[Truck Traffic Share]]</f>
        <v>76.456273764258555</v>
      </c>
      <c r="H36" s="158">
        <f>H16*Table3C.2_57_Delay_NB[[#This Row],[Truck Traffic]]</f>
        <v>0.28825681242078582</v>
      </c>
    </row>
    <row r="37" spans="1:8">
      <c r="A37" s="67"/>
      <c r="B37" s="143">
        <v>0.5</v>
      </c>
      <c r="C37" s="157">
        <v>0.96397941680960553</v>
      </c>
      <c r="D37" s="157">
        <v>3.6020583190394515E-2</v>
      </c>
      <c r="E37" s="158">
        <f>C17*Table3C.2_57_Delay_NB[[#This Row],[Car Traffic Share]]</f>
        <v>3648.6620926243568</v>
      </c>
      <c r="F37" s="158">
        <f>H17*Table3C.2_57_Delay_NB[[#This Row],[Car Traffic]]</f>
        <v>15.476001362683439</v>
      </c>
      <c r="G37" s="158">
        <f>C17*Table3C.2_57_Delay_NB[[#This Row],[Truck Traffic Share]]</f>
        <v>136.33790737564323</v>
      </c>
      <c r="H37" s="158">
        <f>H17*Table3C.2_57_Delay_NB[[#This Row],[Truck Traffic]]</f>
        <v>0.57828474842767297</v>
      </c>
    </row>
    <row r="38" spans="1:8">
      <c r="A38" s="67"/>
      <c r="B38" s="143">
        <v>0.54166666666666696</v>
      </c>
      <c r="C38" s="157">
        <v>0.96923076923076923</v>
      </c>
      <c r="D38" s="157">
        <v>3.0769230769230771E-2</v>
      </c>
      <c r="E38" s="158">
        <f>C18*Table3C.2_57_Delay_NB[[#This Row],[Car Traffic Share]]</f>
        <v>3906</v>
      </c>
      <c r="F38" s="158">
        <f>H18*Table3C.2_57_Delay_NB[[#This Row],[Car Traffic]]</f>
        <v>16.778628461538464</v>
      </c>
      <c r="G38" s="158">
        <f>C18*Table3C.2_57_Delay_NB[[#This Row],[Truck Traffic Share]]</f>
        <v>124</v>
      </c>
      <c r="H38" s="158">
        <f>H18*Table3C.2_57_Delay_NB[[#This Row],[Truck Traffic]]</f>
        <v>0.53265487179487192</v>
      </c>
    </row>
    <row r="39" spans="1:8">
      <c r="A39" s="67"/>
      <c r="B39" s="143">
        <v>0.58333333333333304</v>
      </c>
      <c r="C39" s="157">
        <v>0.98150289017341041</v>
      </c>
      <c r="D39" s="157">
        <v>1.8497109826589597E-2</v>
      </c>
      <c r="E39" s="158">
        <f>C19*Table3C.2_57_Delay_NB[[#This Row],[Car Traffic Share]]</f>
        <v>4366.7063583815034</v>
      </c>
      <c r="F39" s="158">
        <f>H19*Table3C.2_57_Delay_NB[[#This Row],[Car Traffic]]</f>
        <v>21.150119508670524</v>
      </c>
      <c r="G39" s="158">
        <f>C19*Table3C.2_57_Delay_NB[[#This Row],[Truck Traffic Share]]</f>
        <v>82.293641618497119</v>
      </c>
      <c r="H39" s="158">
        <f>H19*Table3C.2_57_Delay_NB[[#This Row],[Truck Traffic]]</f>
        <v>0.3985888246628132</v>
      </c>
    </row>
    <row r="40" spans="1:8">
      <c r="A40" s="67"/>
      <c r="B40" s="143">
        <v>0.625</v>
      </c>
      <c r="C40" s="157">
        <v>0.9779874213836478</v>
      </c>
      <c r="D40" s="157">
        <v>2.20125786163522E-2</v>
      </c>
      <c r="E40" s="158">
        <f>C20*Table3C.2_57_Delay_NB[[#This Row],[Car Traffic Share]]</f>
        <v>4991.6477987421385</v>
      </c>
      <c r="F40" s="158">
        <f>H20*Table3C.2_57_Delay_NB[[#This Row],[Car Traffic]]</f>
        <v>64.063082337526211</v>
      </c>
      <c r="G40" s="158">
        <f>C20*Table3C.2_57_Delay_NB[[#This Row],[Truck Traffic Share]]</f>
        <v>112.35220125786162</v>
      </c>
      <c r="H40" s="158">
        <f>H20*Table3C.2_57_Delay_NB[[#This Row],[Truck Traffic]]</f>
        <v>1.4419343291404609</v>
      </c>
    </row>
    <row r="41" spans="1:8">
      <c r="A41" s="67"/>
      <c r="B41" s="143">
        <v>0.66666666666666696</v>
      </c>
      <c r="C41" s="157">
        <v>0.99905660377358485</v>
      </c>
      <c r="D41" s="157">
        <v>9.4339622641509435E-4</v>
      </c>
      <c r="E41" s="158">
        <f>C21*Table3C.2_57_Delay_NB[[#This Row],[Car Traffic Share]]</f>
        <v>5470.8339622641506</v>
      </c>
      <c r="F41" s="158">
        <f>H21*Table3C.2_57_Delay_NB[[#This Row],[Car Traffic]]</f>
        <v>144.03107665094339</v>
      </c>
      <c r="G41" s="158">
        <f>C21*Table3C.2_57_Delay_NB[[#This Row],[Truck Traffic Share]]</f>
        <v>5.1660377358490566</v>
      </c>
      <c r="H41" s="158">
        <f>H21*Table3C.2_57_Delay_NB[[#This Row],[Truck Traffic]]</f>
        <v>0.1360066823899371</v>
      </c>
    </row>
    <row r="42" spans="1:8">
      <c r="A42" s="67"/>
      <c r="B42" s="143">
        <v>0.70833333333333304</v>
      </c>
      <c r="C42" s="157">
        <v>0.99099999999999999</v>
      </c>
      <c r="D42" s="157">
        <v>8.9999999999999993E-3</v>
      </c>
      <c r="E42" s="158">
        <f>C22*Table3C.2_57_Delay_NB[[#This Row],[Car Traffic Share]]</f>
        <v>5467.3469999999998</v>
      </c>
      <c r="F42" s="158">
        <f>H22*Table3C.2_57_Delay_NB[[#This Row],[Car Traffic]]</f>
        <v>216.53271270555555</v>
      </c>
      <c r="G42" s="158">
        <f>C22*Table3C.2_57_Delay_NB[[#This Row],[Truck Traffic Share]]</f>
        <v>49.652999999999999</v>
      </c>
      <c r="H42" s="158">
        <f>H22*Table3C.2_57_Delay_NB[[#This Row],[Truck Traffic]]</f>
        <v>1.9664928500000001</v>
      </c>
    </row>
    <row r="43" spans="1:8">
      <c r="A43" s="67"/>
      <c r="B43" s="143">
        <v>0.75</v>
      </c>
      <c r="C43" s="157">
        <v>0.99242424242424243</v>
      </c>
      <c r="D43" s="157">
        <v>7.575757575757576E-3</v>
      </c>
      <c r="E43" s="158">
        <f>C23*Table3C.2_57_Delay_NB[[#This Row],[Car Traffic Share]]</f>
        <v>5287.636363636364</v>
      </c>
      <c r="F43" s="158">
        <f>H23*Table3C.2_57_Delay_NB[[#This Row],[Car Traffic]]</f>
        <v>230.57379194023571</v>
      </c>
      <c r="G43" s="158">
        <f>C23*Table3C.2_57_Delay_NB[[#This Row],[Truck Traffic Share]]</f>
        <v>40.363636363636367</v>
      </c>
      <c r="H43" s="158">
        <f>H23*Table3C.2_57_Delay_NB[[#This Row],[Truck Traffic]]</f>
        <v>1.7601052819865322</v>
      </c>
    </row>
    <row r="44" spans="1:8">
      <c r="A44" s="67"/>
      <c r="B44" s="143">
        <v>0.79166666666666663</v>
      </c>
      <c r="C44" s="157">
        <v>0.98581560283687941</v>
      </c>
      <c r="D44" s="157">
        <v>1.4184397163120567E-2</v>
      </c>
      <c r="E44" s="158">
        <f>C24*Table3C.2_57_Delay_NB[[#This Row],[Car Traffic Share]]</f>
        <v>4478.5602836879434</v>
      </c>
      <c r="F44" s="158">
        <f>H24*Table3C.2_57_Delay_NB[[#This Row],[Car Traffic]]</f>
        <v>172.82976851851851</v>
      </c>
      <c r="G44" s="158">
        <f>C24*Table3C.2_57_Delay_NB[[#This Row],[Truck Traffic Share]]</f>
        <v>64.439716312056731</v>
      </c>
      <c r="H44" s="158">
        <f>H24*Table3C.2_57_Delay_NB[[#This Row],[Truck Traffic]]</f>
        <v>2.4867592592592587</v>
      </c>
    </row>
    <row r="45" spans="1:8" ht="13.5" thickBot="1">
      <c r="A45" s="67"/>
      <c r="B45" s="143">
        <v>0.83333333333333337</v>
      </c>
      <c r="C45" s="159">
        <v>1</v>
      </c>
      <c r="D45" s="159">
        <v>0</v>
      </c>
      <c r="E45" s="162">
        <f>C25*Table3C.2_57_Delay_NB[[#This Row],[Car Traffic Share]]</f>
        <v>3134</v>
      </c>
      <c r="F45" s="162">
        <f>H25*Table3C.2_57_Delay_NB[[#This Row],[Car Traffic]]</f>
        <v>60.105841666666663</v>
      </c>
      <c r="G45" s="162">
        <f>C25*Table3C.2_57_Delay_NB[[#This Row],[Truck Traffic Share]]</f>
        <v>0</v>
      </c>
      <c r="H45" s="162">
        <f>H25*Table3C.2_57_Delay_NB[[#This Row],[Truck Traffic]]</f>
        <v>0</v>
      </c>
    </row>
    <row r="46" spans="1:8" ht="13.5" thickTop="1">
      <c r="A46" s="67"/>
      <c r="B46" s="90" t="s">
        <v>26</v>
      </c>
      <c r="C46" s="81"/>
      <c r="D46" s="81"/>
      <c r="E46" s="154">
        <f>SUBTOTAL(109,Table3C.2_57_Delay_NB[Car Traffic])</f>
        <v>62080.536285735114</v>
      </c>
      <c r="F46" s="154">
        <f>SUBTOTAL(109,Table3C.2_57_Delay_NB[Car Delay 
(hrs)])</f>
        <v>1066.946203958144</v>
      </c>
      <c r="G46" s="154">
        <f>SUBTOTAL(109,Table3C.2_57_Delay_NB[Truck Traffic])</f>
        <v>1315.4637142648903</v>
      </c>
      <c r="H46" s="154">
        <f>SUBTOTAL(109,Table3C.2_57_Delay_NB[Truck Delay (hrs)])</f>
        <v>13.755623819633879</v>
      </c>
    </row>
    <row r="47" spans="1:8">
      <c r="A47" s="67"/>
      <c r="C47" s="91"/>
      <c r="D47" s="90"/>
      <c r="E47" s="144"/>
      <c r="F47" s="145"/>
      <c r="G47" s="145"/>
      <c r="H47" s="145"/>
    </row>
    <row r="48" spans="1:8">
      <c r="A48" s="67"/>
      <c r="B48" s="63" t="s">
        <v>210</v>
      </c>
    </row>
    <row r="49" spans="1:8">
      <c r="A49" s="67"/>
      <c r="B49" s="397"/>
      <c r="C49" s="397"/>
      <c r="D49" s="397"/>
      <c r="E49" s="397"/>
      <c r="F49" s="397"/>
      <c r="G49" s="397"/>
      <c r="H49" s="397"/>
    </row>
    <row r="50" spans="1:8" ht="38.25">
      <c r="A50" s="67"/>
      <c r="B50" s="123" t="s">
        <v>178</v>
      </c>
      <c r="C50" s="123" t="s">
        <v>195</v>
      </c>
      <c r="D50" s="123" t="s">
        <v>180</v>
      </c>
      <c r="E50" s="123" t="s">
        <v>196</v>
      </c>
      <c r="F50" s="123" t="s">
        <v>182</v>
      </c>
      <c r="G50" s="123" t="s">
        <v>197</v>
      </c>
      <c r="H50" s="123" t="s">
        <v>198</v>
      </c>
    </row>
    <row r="51" spans="1:8">
      <c r="A51" s="67"/>
      <c r="B51" s="143">
        <v>0.25</v>
      </c>
      <c r="C51" s="347">
        <v>1381</v>
      </c>
      <c r="D51" s="347">
        <v>977.27</v>
      </c>
      <c r="E51" s="347">
        <v>33.695833333333333</v>
      </c>
      <c r="F51" s="347">
        <v>29</v>
      </c>
      <c r="G51" s="347">
        <v>8.6243638888888885</v>
      </c>
      <c r="H51" s="348">
        <f>Table3C.3_57TTS_PA[[#This Row],[Total Delay: All Vehicles (hr)]]/Table3C.3_57TTS_PA[[#This Row],[Total Vehicles Traveling Within the Network]]</f>
        <v>6.2450136776892751E-3</v>
      </c>
    </row>
    <row r="52" spans="1:8">
      <c r="A52" s="67"/>
      <c r="B52" s="143">
        <v>0.29166666666666702</v>
      </c>
      <c r="C52" s="347">
        <v>3238</v>
      </c>
      <c r="D52" s="347">
        <v>2279.5700000000002</v>
      </c>
      <c r="E52" s="347">
        <v>83.905783333333332</v>
      </c>
      <c r="F52" s="347">
        <v>27.17</v>
      </c>
      <c r="G52" s="347">
        <v>25.21703611111111</v>
      </c>
      <c r="H52" s="348">
        <f>Table3C.3_57TTS_PA[[#This Row],[Total Delay: All Vehicles (hr)]]/Table3C.3_57TTS_PA[[#This Row],[Total Vehicles Traveling Within the Network]]</f>
        <v>7.7878431473474711E-3</v>
      </c>
    </row>
    <row r="53" spans="1:8">
      <c r="A53" s="67"/>
      <c r="B53" s="143">
        <v>0.33333333333333298</v>
      </c>
      <c r="C53" s="347">
        <v>5214</v>
      </c>
      <c r="D53" s="347">
        <v>3687.54</v>
      </c>
      <c r="E53" s="347">
        <v>146.71860555555554</v>
      </c>
      <c r="F53" s="347">
        <v>25.14</v>
      </c>
      <c r="G53" s="347">
        <v>51.77741944444444</v>
      </c>
      <c r="H53" s="348">
        <f>Table3C.3_57TTS_PA[[#This Row],[Total Delay: All Vehicles (hr)]]/Table3C.3_57TTS_PA[[#This Row],[Total Vehicles Traveling Within the Network]]</f>
        <v>9.9304601926437364E-3</v>
      </c>
    </row>
    <row r="54" spans="1:8">
      <c r="A54" s="67"/>
      <c r="B54" s="143">
        <v>0.375</v>
      </c>
      <c r="C54" s="347">
        <v>5028</v>
      </c>
      <c r="D54" s="347">
        <v>3534.03</v>
      </c>
      <c r="E54" s="347">
        <v>139.19768888888888</v>
      </c>
      <c r="F54" s="347">
        <v>25.39</v>
      </c>
      <c r="G54" s="347">
        <v>48.267583333333327</v>
      </c>
      <c r="H54" s="348">
        <f>Table3C.3_57TTS_PA[[#This Row],[Total Delay: All Vehicles (hr)]]/Table3C.3_57TTS_PA[[#This Row],[Total Vehicles Traveling Within the Network]]</f>
        <v>9.599758021744894E-3</v>
      </c>
    </row>
    <row r="55" spans="1:8">
      <c r="A55" s="67"/>
      <c r="B55" s="143">
        <v>0.41666666666666702</v>
      </c>
      <c r="C55" s="347">
        <v>3720</v>
      </c>
      <c r="D55" s="347">
        <v>2631.56</v>
      </c>
      <c r="E55" s="347">
        <v>96.855172222222222</v>
      </c>
      <c r="F55" s="347">
        <v>27.18</v>
      </c>
      <c r="G55" s="347">
        <v>29.142719444444442</v>
      </c>
      <c r="H55" s="348">
        <f>Table3C.3_57TTS_PA[[#This Row],[Total Delay: All Vehicles (hr)]]/Table3C.3_57TTS_PA[[#This Row],[Total Vehicles Traveling Within the Network]]</f>
        <v>7.8340643667861396E-3</v>
      </c>
    </row>
    <row r="56" spans="1:8">
      <c r="A56" s="67"/>
      <c r="B56" s="143">
        <v>0.45833333333333298</v>
      </c>
      <c r="C56" s="347">
        <v>3702</v>
      </c>
      <c r="D56" s="347">
        <v>2622.7</v>
      </c>
      <c r="E56" s="347">
        <v>96.044127777777774</v>
      </c>
      <c r="F56" s="347">
        <v>27.31</v>
      </c>
      <c r="G56" s="347">
        <v>28.605141666666665</v>
      </c>
      <c r="H56" s="348">
        <f>Table3C.3_57TTS_PA[[#This Row],[Total Delay: All Vehicles (hr)]]/Table3C.3_57TTS_PA[[#This Row],[Total Vehicles Traveling Within the Network]]</f>
        <v>7.7269426436160629E-3</v>
      </c>
    </row>
    <row r="57" spans="1:8">
      <c r="A57" s="67"/>
      <c r="B57" s="143">
        <v>0.5</v>
      </c>
      <c r="C57" s="347">
        <v>3845</v>
      </c>
      <c r="D57" s="347">
        <v>2723.78</v>
      </c>
      <c r="E57" s="347">
        <v>100.12965555555556</v>
      </c>
      <c r="F57" s="347">
        <v>27.21</v>
      </c>
      <c r="G57" s="347">
        <v>30.016730555555554</v>
      </c>
      <c r="H57" s="348">
        <f>Table3C.3_57TTS_PA[[#This Row],[Total Delay: All Vehicles (hr)]]/Table3C.3_57TTS_PA[[#This Row],[Total Vehicles Traveling Within the Network]]</f>
        <v>7.806691952030053E-3</v>
      </c>
    </row>
    <row r="58" spans="1:8">
      <c r="A58" s="67"/>
      <c r="B58" s="143">
        <v>0.54166666666666696</v>
      </c>
      <c r="C58" s="347">
        <v>4070</v>
      </c>
      <c r="D58" s="347">
        <v>2850.93</v>
      </c>
      <c r="E58" s="347">
        <v>112.66048333333333</v>
      </c>
      <c r="F58" s="347">
        <v>25.31</v>
      </c>
      <c r="G58" s="347">
        <v>38.63238888888889</v>
      </c>
      <c r="H58" s="348">
        <f>Table3C.3_57TTS_PA[[#This Row],[Total Delay: All Vehicles (hr)]]/Table3C.3_57TTS_PA[[#This Row],[Total Vehicles Traveling Within the Network]]</f>
        <v>9.4919874419874418E-3</v>
      </c>
    </row>
    <row r="59" spans="1:8">
      <c r="A59" s="67"/>
      <c r="B59" s="143">
        <v>0.58333333333333304</v>
      </c>
      <c r="C59" s="347">
        <v>4509</v>
      </c>
      <c r="D59" s="347">
        <v>3108.3</v>
      </c>
      <c r="E59" s="347">
        <v>124.8479111111111</v>
      </c>
      <c r="F59" s="347">
        <v>24.9</v>
      </c>
      <c r="G59" s="347">
        <v>44.107799999999997</v>
      </c>
      <c r="H59" s="348">
        <f>Table3C.3_57TTS_PA[[#This Row],[Total Delay: All Vehicles (hr)]]/Table3C.3_57TTS_PA[[#This Row],[Total Vehicles Traveling Within the Network]]</f>
        <v>9.7821689953426477E-3</v>
      </c>
    </row>
    <row r="60" spans="1:8">
      <c r="A60" s="67"/>
      <c r="B60" s="143">
        <v>0.625</v>
      </c>
      <c r="C60" s="347">
        <v>5214</v>
      </c>
      <c r="D60" s="347">
        <v>3619.28</v>
      </c>
      <c r="E60" s="347">
        <v>153.31244999999998</v>
      </c>
      <c r="F60" s="347">
        <v>23.61</v>
      </c>
      <c r="G60" s="347">
        <v>59.13473888888889</v>
      </c>
      <c r="H60" s="348">
        <f>Table3C.3_57TTS_PA[[#This Row],[Total Delay: All Vehicles (hr)]]/Table3C.3_57TTS_PA[[#This Row],[Total Vehicles Traveling Within the Network]]</f>
        <v>1.1341530281720155E-2</v>
      </c>
    </row>
    <row r="61" spans="1:8">
      <c r="A61" s="67"/>
      <c r="B61" s="143">
        <v>0.66666666666666696</v>
      </c>
      <c r="C61" s="347">
        <v>5789</v>
      </c>
      <c r="D61" s="347">
        <v>4039.89</v>
      </c>
      <c r="E61" s="347">
        <v>174.62527777777777</v>
      </c>
      <c r="F61" s="347">
        <v>23.15</v>
      </c>
      <c r="G61" s="347">
        <v>69.614000000000004</v>
      </c>
      <c r="H61" s="348">
        <f>Table3C.3_57TTS_PA[[#This Row],[Total Delay: All Vehicles (hr)]]/Table3C.3_57TTS_PA[[#This Row],[Total Vehicles Traveling Within the Network]]</f>
        <v>1.2025220245292798E-2</v>
      </c>
    </row>
    <row r="62" spans="1:8">
      <c r="A62" s="67"/>
      <c r="B62" s="143">
        <v>0.70833333333333304</v>
      </c>
      <c r="C62" s="347">
        <v>5919</v>
      </c>
      <c r="D62" s="347">
        <v>4117.67</v>
      </c>
      <c r="E62" s="347">
        <v>179.54580555555557</v>
      </c>
      <c r="F62" s="347">
        <v>22.95</v>
      </c>
      <c r="G62" s="347">
        <v>72.525897222222227</v>
      </c>
      <c r="H62" s="348">
        <f>Table3C.3_57TTS_PA[[#This Row],[Total Delay: All Vehicles (hr)]]/Table3C.3_57TTS_PA[[#This Row],[Total Vehicles Traveling Within the Network]]</f>
        <v>1.2253065927052243E-2</v>
      </c>
    </row>
    <row r="63" spans="1:8">
      <c r="A63" s="67"/>
      <c r="B63" s="143">
        <v>0.75</v>
      </c>
      <c r="C63" s="347">
        <v>5555</v>
      </c>
      <c r="D63" s="347">
        <v>3858.14</v>
      </c>
      <c r="E63" s="347">
        <v>165.48327222222224</v>
      </c>
      <c r="F63" s="347">
        <v>23.34</v>
      </c>
      <c r="G63" s="347">
        <v>65.085080555555564</v>
      </c>
      <c r="H63" s="348">
        <f>Table3C.3_57TTS_PA[[#This Row],[Total Delay: All Vehicles (hr)]]/Table3C.3_57TTS_PA[[#This Row],[Total Vehicles Traveling Within the Network]]</f>
        <v>1.1716486148614863E-2</v>
      </c>
    </row>
    <row r="64" spans="1:8">
      <c r="A64" s="67"/>
      <c r="B64" s="143">
        <v>0.79166666666666663</v>
      </c>
      <c r="C64" s="347">
        <v>4216</v>
      </c>
      <c r="D64" s="347">
        <v>2916.59</v>
      </c>
      <c r="E64" s="347">
        <v>117.71474444444445</v>
      </c>
      <c r="F64" s="347">
        <v>24.78</v>
      </c>
      <c r="G64" s="347">
        <v>41.869094444444443</v>
      </c>
      <c r="H64" s="348">
        <f>Table3C.3_57TTS_PA[[#This Row],[Total Delay: All Vehicles (hr)]]/Table3C.3_57TTS_PA[[#This Row],[Total Vehicles Traveling Within the Network]]</f>
        <v>9.9309996310352096E-3</v>
      </c>
    </row>
    <row r="65" spans="1:8">
      <c r="A65" s="67"/>
      <c r="B65" s="143">
        <v>0.83333333333333337</v>
      </c>
      <c r="C65" s="347">
        <v>3050</v>
      </c>
      <c r="D65" s="347">
        <v>2105.46</v>
      </c>
      <c r="E65" s="347">
        <v>81.356183333333334</v>
      </c>
      <c r="F65" s="347">
        <v>25.89</v>
      </c>
      <c r="G65" s="347">
        <v>26.619766666666667</v>
      </c>
      <c r="H65" s="348">
        <f>Table3C.3_57TTS_PA[[#This Row],[Total Delay: All Vehicles (hr)]]/Table3C.3_57TTS_PA[[#This Row],[Total Vehicles Traveling Within the Network]]</f>
        <v>8.7277923497267769E-3</v>
      </c>
    </row>
    <row r="66" spans="1:8">
      <c r="A66" s="67"/>
      <c r="B66" s="131" t="s">
        <v>26</v>
      </c>
      <c r="C66" s="153">
        <f>SUBTOTAL(109,Table3C.3_57TTS_PA[Total Vehicles Traveling Within the Network])</f>
        <v>64450</v>
      </c>
      <c r="D66" s="153">
        <f>SUBTOTAL(109,Table3C.3_57TTS_PA[VMT: Total Path Distance (mi)])</f>
        <v>45072.71</v>
      </c>
      <c r="E66" s="153">
        <f>SUBTOTAL(109,Table3C.3_57TTS_PA[VHT: Total Time Within the Network (hr)])</f>
        <v>1806.0929944444442</v>
      </c>
      <c r="F66" s="153">
        <f>SUBTOTAL(101,Table3C.3_57TTS_PA[Average Speed (mph)])</f>
        <v>25.488666666666663</v>
      </c>
      <c r="G66" s="153">
        <f>SUBTOTAL(109,Table3C.3_57TTS_PA[Total Delay: All Vehicles (hr)])</f>
        <v>639.23976111111119</v>
      </c>
      <c r="H66" s="369">
        <f>SUBTOTAL(101,Table3C.3_57TTS_PA[Average Delay: Per Vehicle (hr/veh)])</f>
        <v>9.4800016681753189E-3</v>
      </c>
    </row>
    <row r="67" spans="1:8">
      <c r="A67" s="67"/>
    </row>
    <row r="68" spans="1:8" ht="13.5" customHeight="1">
      <c r="A68" s="67"/>
      <c r="B68" s="63" t="s">
        <v>211</v>
      </c>
    </row>
    <row r="69" spans="1:8">
      <c r="A69" s="67"/>
      <c r="B69" s="397"/>
      <c r="C69" s="397"/>
      <c r="D69" s="397"/>
      <c r="E69" s="397"/>
      <c r="F69" s="397"/>
      <c r="G69" s="397"/>
      <c r="H69" s="397"/>
    </row>
    <row r="70" spans="1:8" ht="25.5">
      <c r="A70" s="67"/>
      <c r="B70" s="123" t="s">
        <v>178</v>
      </c>
      <c r="C70" s="123" t="s">
        <v>186</v>
      </c>
      <c r="D70" s="84" t="s">
        <v>187</v>
      </c>
      <c r="E70" s="123" t="s">
        <v>188</v>
      </c>
      <c r="F70" s="123" t="s">
        <v>189</v>
      </c>
      <c r="G70" s="123" t="s">
        <v>190</v>
      </c>
      <c r="H70" s="123" t="s">
        <v>191</v>
      </c>
    </row>
    <row r="71" spans="1:8">
      <c r="A71" s="67"/>
      <c r="B71" s="143">
        <v>0.25</v>
      </c>
      <c r="C71" s="157">
        <v>0.9653846153846154</v>
      </c>
      <c r="D71" s="157">
        <v>3.4615384615384617E-2</v>
      </c>
      <c r="E71" s="158">
        <f>C51*Table3C.4_57Delay_PA[[#This Row],[Car Traffic Share]]</f>
        <v>1333.1961538461539</v>
      </c>
      <c r="F71" s="158">
        <f>H51*Table3C.4_57Delay_PA[[#This Row],[Car Traffic]]</f>
        <v>8.325828215811967</v>
      </c>
      <c r="G71" s="158">
        <f>C51*Table3C.4_57Delay_PA[[#This Row],[Truck Traffic Share]]</f>
        <v>47.803846153846159</v>
      </c>
      <c r="H71" s="158">
        <f>H51*Table3C.4_57Delay_PA[[#This Row],[Truck Traffic]]</f>
        <v>0.29853567307692314</v>
      </c>
    </row>
    <row r="72" spans="1:8">
      <c r="A72" s="67"/>
      <c r="B72" s="143">
        <v>0.29166666666666702</v>
      </c>
      <c r="C72" s="157">
        <v>0.96461538461538465</v>
      </c>
      <c r="D72" s="157">
        <v>3.5384615384615382E-2</v>
      </c>
      <c r="E72" s="158">
        <f>C52*Table3C.4_57Delay_PA[[#This Row],[Car Traffic Share]]</f>
        <v>3123.4246153846157</v>
      </c>
      <c r="F72" s="158">
        <f>H52*Table3C.4_57Delay_PA[[#This Row],[Car Traffic]]</f>
        <v>24.324740987179489</v>
      </c>
      <c r="G72" s="158">
        <f>C52*Table3C.4_57Delay_PA[[#This Row],[Truck Traffic Share]]</f>
        <v>114.57538461538461</v>
      </c>
      <c r="H72" s="158">
        <f>H52*Table3C.4_57Delay_PA[[#This Row],[Truck Traffic]]</f>
        <v>0.89229512393162391</v>
      </c>
    </row>
    <row r="73" spans="1:8">
      <c r="A73" s="67"/>
      <c r="B73" s="143">
        <v>0.33333333333333298</v>
      </c>
      <c r="C73" s="157">
        <v>0.97201767304860087</v>
      </c>
      <c r="D73" s="157">
        <v>2.7982326951399118E-2</v>
      </c>
      <c r="E73" s="158">
        <f>C53*Table3C.4_57Delay_PA[[#This Row],[Car Traffic Share]]</f>
        <v>5068.1001472754051</v>
      </c>
      <c r="F73" s="158">
        <f>H53*Table3C.4_57Delay_PA[[#This Row],[Car Traffic]]</f>
        <v>50.328566764850265</v>
      </c>
      <c r="G73" s="158">
        <f>C53*Table3C.4_57Delay_PA[[#This Row],[Truck Traffic Share]]</f>
        <v>145.89985272459501</v>
      </c>
      <c r="H73" s="158">
        <f>H53*Table3C.4_57Delay_PA[[#This Row],[Truck Traffic]]</f>
        <v>1.4488526795941745</v>
      </c>
    </row>
    <row r="74" spans="1:8">
      <c r="A74" s="67"/>
      <c r="B74" s="143">
        <v>0.375</v>
      </c>
      <c r="C74" s="157">
        <v>0.9516483516483516</v>
      </c>
      <c r="D74" s="157">
        <v>4.8351648351648353E-2</v>
      </c>
      <c r="E74" s="158">
        <f>C54*Table3C.4_57Delay_PA[[#This Row],[Car Traffic Share]]</f>
        <v>4784.8879120879119</v>
      </c>
      <c r="F74" s="158">
        <f>H54*Table3C.4_57Delay_PA[[#This Row],[Car Traffic]]</f>
        <v>45.933766117216109</v>
      </c>
      <c r="G74" s="158">
        <f>C54*Table3C.4_57Delay_PA[[#This Row],[Truck Traffic Share]]</f>
        <v>243.11208791208793</v>
      </c>
      <c r="H74" s="158">
        <f>H54*Table3C.4_57Delay_PA[[#This Row],[Truck Traffic]]</f>
        <v>2.3338172161172159</v>
      </c>
    </row>
    <row r="75" spans="1:8">
      <c r="A75" s="67"/>
      <c r="B75" s="143">
        <v>0.41666666666666702</v>
      </c>
      <c r="C75" s="157">
        <v>0.98189134808853118</v>
      </c>
      <c r="D75" s="157">
        <v>1.8108651911468814E-2</v>
      </c>
      <c r="E75" s="158">
        <f>C55*Table3C.4_57Delay_PA[[#This Row],[Car Traffic Share]]</f>
        <v>3652.635814889336</v>
      </c>
      <c r="F75" s="158">
        <f>H55*Table3C.4_57Delay_PA[[#This Row],[Car Traffic]]</f>
        <v>28.614984082271402</v>
      </c>
      <c r="G75" s="158">
        <f>C55*Table3C.4_57Delay_PA[[#This Row],[Truck Traffic Share]]</f>
        <v>67.364185110663982</v>
      </c>
      <c r="H75" s="158">
        <f>H55*Table3C.4_57Delay_PA[[#This Row],[Truck Traffic]]</f>
        <v>0.52773536217303807</v>
      </c>
    </row>
    <row r="76" spans="1:8">
      <c r="A76" s="67"/>
      <c r="B76" s="143">
        <v>0.45833333333333298</v>
      </c>
      <c r="C76" s="157">
        <v>0.97908745247148288</v>
      </c>
      <c r="D76" s="157">
        <v>2.0912547528517109E-2</v>
      </c>
      <c r="E76" s="158">
        <f>C56*Table3C.4_57Delay_PA[[#This Row],[Car Traffic Share]]</f>
        <v>3624.5817490494296</v>
      </c>
      <c r="F76" s="158">
        <f>H56*Table3C.4_57Delay_PA[[#This Row],[Car Traffic]]</f>
        <v>28.006935282002534</v>
      </c>
      <c r="G76" s="158">
        <f>C56*Table3C.4_57Delay_PA[[#This Row],[Truck Traffic Share]]</f>
        <v>77.418250950570339</v>
      </c>
      <c r="H76" s="158">
        <f>H56*Table3C.4_57Delay_PA[[#This Row],[Truck Traffic]]</f>
        <v>0.59820638466413179</v>
      </c>
    </row>
    <row r="77" spans="1:8">
      <c r="A77" s="67"/>
      <c r="B77" s="143">
        <v>0.5</v>
      </c>
      <c r="C77" s="157">
        <v>0.96397941680960553</v>
      </c>
      <c r="D77" s="157">
        <v>3.6020583190394515E-2</v>
      </c>
      <c r="E77" s="158">
        <f>C57*Table3C.4_57Delay_PA[[#This Row],[Car Traffic Share]]</f>
        <v>3706.5008576329333</v>
      </c>
      <c r="F77" s="158">
        <f>H57*Table3C.4_57Delay_PA[[#This Row],[Car Traffic]]</f>
        <v>28.935510415475509</v>
      </c>
      <c r="G77" s="158">
        <f>C57*Table3C.4_57Delay_PA[[#This Row],[Truck Traffic Share]]</f>
        <v>138.4991423670669</v>
      </c>
      <c r="H77" s="158">
        <f>H57*Table3C.4_57Delay_PA[[#This Row],[Truck Traffic]]</f>
        <v>1.0812201400800456</v>
      </c>
    </row>
    <row r="78" spans="1:8">
      <c r="A78" s="67"/>
      <c r="B78" s="143">
        <v>0.54166666666666696</v>
      </c>
      <c r="C78" s="157">
        <v>0.96923076923076923</v>
      </c>
      <c r="D78" s="157">
        <v>3.0769230769230771E-2</v>
      </c>
      <c r="E78" s="158">
        <f>C58*Table3C.4_57Delay_PA[[#This Row],[Car Traffic Share]]</f>
        <v>3944.7692307692309</v>
      </c>
      <c r="F78" s="158">
        <f>H58*Table3C.4_57Delay_PA[[#This Row],[Car Traffic]]</f>
        <v>37.4437</v>
      </c>
      <c r="G78" s="158">
        <f>C58*Table3C.4_57Delay_PA[[#This Row],[Truck Traffic Share]]</f>
        <v>125.23076923076924</v>
      </c>
      <c r="H78" s="158">
        <f>H58*Table3C.4_57Delay_PA[[#This Row],[Truck Traffic]]</f>
        <v>1.1886888888888889</v>
      </c>
    </row>
    <row r="79" spans="1:8">
      <c r="A79" s="67"/>
      <c r="B79" s="143">
        <v>0.58333333333333304</v>
      </c>
      <c r="C79" s="157">
        <v>0.98150289017341041</v>
      </c>
      <c r="D79" s="157">
        <v>1.8497109826589597E-2</v>
      </c>
      <c r="E79" s="158">
        <f>C59*Table3C.4_57Delay_PA[[#This Row],[Car Traffic Share]]</f>
        <v>4425.5965317919072</v>
      </c>
      <c r="F79" s="158">
        <f>H59*Table3C.4_57Delay_PA[[#This Row],[Car Traffic]]</f>
        <v>43.29193317919075</v>
      </c>
      <c r="G79" s="158">
        <f>C59*Table3C.4_57Delay_PA[[#This Row],[Truck Traffic Share]]</f>
        <v>83.403468208092491</v>
      </c>
      <c r="H79" s="158">
        <f>H59*Table3C.4_57Delay_PA[[#This Row],[Truck Traffic]]</f>
        <v>0.81586682080924855</v>
      </c>
    </row>
    <row r="80" spans="1:8">
      <c r="A80" s="67"/>
      <c r="B80" s="143">
        <v>0.625</v>
      </c>
      <c r="C80" s="157">
        <v>0.9779874213836478</v>
      </c>
      <c r="D80" s="157">
        <v>2.20125786163522E-2</v>
      </c>
      <c r="E80" s="158">
        <f>C60*Table3C.4_57Delay_PA[[#This Row],[Car Traffic Share]]</f>
        <v>5099.2264150943392</v>
      </c>
      <c r="F80" s="158">
        <f>H60*Table3C.4_57Delay_PA[[#This Row],[Car Traffic]]</f>
        <v>57.83303080013976</v>
      </c>
      <c r="G80" s="158">
        <f>C60*Table3C.4_57Delay_PA[[#This Row],[Truck Traffic Share]]</f>
        <v>114.77358490566037</v>
      </c>
      <c r="H80" s="158">
        <f>H60*Table3C.4_57Delay_PA[[#This Row],[Truck Traffic]]</f>
        <v>1.3017080887491264</v>
      </c>
    </row>
    <row r="81" spans="1:8">
      <c r="A81" s="67"/>
      <c r="B81" s="143">
        <v>0.66666666666666696</v>
      </c>
      <c r="C81" s="157">
        <v>0.99905660377358485</v>
      </c>
      <c r="D81" s="157">
        <v>9.4339622641509435E-4</v>
      </c>
      <c r="E81" s="158">
        <f>C61*Table3C.4_57Delay_PA[[#This Row],[Car Traffic Share]]</f>
        <v>5783.5386792452828</v>
      </c>
      <c r="F81" s="158">
        <f>H61*Table3C.4_57Delay_PA[[#This Row],[Car Traffic]]</f>
        <v>69.548326415094337</v>
      </c>
      <c r="G81" s="158">
        <f>C61*Table3C.4_57Delay_PA[[#This Row],[Truck Traffic Share]]</f>
        <v>5.4613207547169811</v>
      </c>
      <c r="H81" s="158">
        <f>H61*Table3C.4_57Delay_PA[[#This Row],[Truck Traffic]]</f>
        <v>6.5673584905660387E-2</v>
      </c>
    </row>
    <row r="82" spans="1:8">
      <c r="A82" s="67"/>
      <c r="B82" s="143">
        <v>0.70833333333333304</v>
      </c>
      <c r="C82" s="157">
        <v>0.99099999999999999</v>
      </c>
      <c r="D82" s="157">
        <v>8.9999999999999993E-3</v>
      </c>
      <c r="E82" s="158">
        <f>C62*Table3C.4_57Delay_PA[[#This Row],[Car Traffic Share]]</f>
        <v>5865.7290000000003</v>
      </c>
      <c r="F82" s="158">
        <f>H62*Table3C.4_57Delay_PA[[#This Row],[Car Traffic]]</f>
        <v>71.873164147222226</v>
      </c>
      <c r="G82" s="158">
        <f>C62*Table3C.4_57Delay_PA[[#This Row],[Truck Traffic Share]]</f>
        <v>53.270999999999994</v>
      </c>
      <c r="H82" s="158">
        <f>H62*Table3C.4_57Delay_PA[[#This Row],[Truck Traffic]]</f>
        <v>0.652733075</v>
      </c>
    </row>
    <row r="83" spans="1:8">
      <c r="A83" s="67"/>
      <c r="B83" s="143">
        <v>0.75</v>
      </c>
      <c r="C83" s="157">
        <v>0.99242424242424243</v>
      </c>
      <c r="D83" s="157">
        <v>7.575757575757576E-3</v>
      </c>
      <c r="E83" s="158">
        <f>C63*Table3C.4_57Delay_PA[[#This Row],[Car Traffic Share]]</f>
        <v>5512.916666666667</v>
      </c>
      <c r="F83" s="158">
        <f>H63*Table3C.4_57Delay_PA[[#This Row],[Car Traffic]]</f>
        <v>64.592011763468022</v>
      </c>
      <c r="G83" s="158">
        <f>C63*Table3C.4_57Delay_PA[[#This Row],[Truck Traffic Share]]</f>
        <v>42.083333333333336</v>
      </c>
      <c r="H83" s="158">
        <f>H63*Table3C.4_57Delay_PA[[#This Row],[Truck Traffic]]</f>
        <v>0.49306879208754217</v>
      </c>
    </row>
    <row r="84" spans="1:8">
      <c r="A84" s="67"/>
      <c r="B84" s="143">
        <v>0.79166666666666663</v>
      </c>
      <c r="C84" s="157">
        <v>0.98581560283687941</v>
      </c>
      <c r="D84" s="157">
        <v>1.4184397163120567E-2</v>
      </c>
      <c r="E84" s="158">
        <f>C64*Table3C.4_57Delay_PA[[#This Row],[Car Traffic Share]]</f>
        <v>4156.1985815602839</v>
      </c>
      <c r="F84" s="158">
        <f>H64*Table3C.4_57Delay_PA[[#This Row],[Car Traffic]]</f>
        <v>41.275206579984243</v>
      </c>
      <c r="G84" s="158">
        <f>C64*Table3C.4_57Delay_PA[[#This Row],[Truck Traffic Share]]</f>
        <v>59.801418439716308</v>
      </c>
      <c r="H84" s="158">
        <f>H64*Table3C.4_57Delay_PA[[#This Row],[Truck Traffic]]</f>
        <v>0.59388786446020481</v>
      </c>
    </row>
    <row r="85" spans="1:8" ht="13.5" thickBot="1">
      <c r="B85" s="143">
        <v>0.83333333333333337</v>
      </c>
      <c r="C85" s="159">
        <v>1</v>
      </c>
      <c r="D85" s="159">
        <v>0</v>
      </c>
      <c r="E85" s="162">
        <f>C65*Table3C.4_57Delay_PA[[#This Row],[Car Traffic Share]]</f>
        <v>3050</v>
      </c>
      <c r="F85" s="162">
        <f>H65*Table3C.4_57Delay_PA[[#This Row],[Car Traffic]]</f>
        <v>26.619766666666671</v>
      </c>
      <c r="G85" s="162">
        <f>C65*Table3C.4_57Delay_PA[[#This Row],[Truck Traffic Share]]</f>
        <v>0</v>
      </c>
      <c r="H85" s="162">
        <f>H65*Table3C.4_57Delay_PA[[#This Row],[Truck Traffic]]</f>
        <v>0</v>
      </c>
    </row>
    <row r="86" spans="1:8" ht="13.5" thickTop="1">
      <c r="B86" s="90" t="s">
        <v>26</v>
      </c>
      <c r="C86" s="81"/>
      <c r="D86" s="81"/>
      <c r="E86" s="154">
        <f>SUBTOTAL(109,Table3C.4_57Delay_PA[Car Traffic])</f>
        <v>63131.302355293497</v>
      </c>
      <c r="F86" s="154">
        <f>SUBTOTAL(109,Table3C.4_57Delay_PA[Car Delay 
(hrs)])</f>
        <v>626.94747141657331</v>
      </c>
      <c r="G86" s="154">
        <f>SUBTOTAL(109,Table3C.4_57Delay_PA[Truck Traffic])</f>
        <v>1318.6976447065038</v>
      </c>
      <c r="H86" s="154">
        <f>SUBTOTAL(109,Table3C.4_57Delay_PA[Truck Delay (hrs)])</f>
        <v>12.292289694537825</v>
      </c>
    </row>
    <row r="88" spans="1:8">
      <c r="B88" s="63" t="s">
        <v>212</v>
      </c>
    </row>
    <row r="89" spans="1:8">
      <c r="B89" s="397"/>
      <c r="C89" s="397"/>
      <c r="D89" s="397"/>
      <c r="E89" s="397"/>
      <c r="F89" s="397"/>
      <c r="G89" s="397"/>
      <c r="H89" s="397"/>
    </row>
    <row r="90" spans="1:8" ht="25.5">
      <c r="B90" s="123" t="s">
        <v>178</v>
      </c>
      <c r="C90" s="123" t="s">
        <v>201</v>
      </c>
      <c r="D90" s="84" t="s">
        <v>202</v>
      </c>
      <c r="E90" s="123" t="s">
        <v>203</v>
      </c>
      <c r="F90" s="123" t="s">
        <v>204</v>
      </c>
      <c r="G90" s="123" t="s">
        <v>205</v>
      </c>
      <c r="H90" s="123" t="s">
        <v>206</v>
      </c>
    </row>
    <row r="91" spans="1:8">
      <c r="B91" s="143">
        <v>0.25</v>
      </c>
      <c r="C91" s="158">
        <f t="shared" ref="C91:C105" si="0">F31-F71</f>
        <v>-5.702497425213676</v>
      </c>
      <c r="D91" s="158">
        <f t="shared" ref="D91:D105" si="1">H31-H71</f>
        <v>-0.20447201923076927</v>
      </c>
      <c r="E91" s="163">
        <f>Table3C.7_57TTSMoney[[#This Row],[Car Delay Savings (hrs)]]*All_Purpose_Travel*Passenger_Vehicles_Occupancy</f>
        <v>-179.03560916200857</v>
      </c>
      <c r="F91" s="163">
        <f>Table3C.7_57TTSMoney[[#This Row],[Truck Delay Savings (hrs)]]*Truck_Travel</f>
        <v>-6.6248934230769239</v>
      </c>
      <c r="G91" s="163">
        <f>(Table3C.7_57TTSMoney[[#This Row],[Truck Savings Benefits (Daily)]]+Table3C.7_57TTSMoney[[#This Row],[Car Savings Benefits (Daily)]])*270</f>
        <v>-50128.335697973082</v>
      </c>
      <c r="H91" s="163">
        <f>(Table3C.7_57TTSMoney[[#This Row],[Car Savings Benefits (Daily)]]+Table3C.7_57TTSMoney[[#This Row],[Truck Savings Benefits (Daily)]])*365</f>
        <v>-67766.083443556199</v>
      </c>
    </row>
    <row r="92" spans="1:8">
      <c r="B92" s="143">
        <v>0.29166666666666702</v>
      </c>
      <c r="C92" s="158">
        <f t="shared" si="0"/>
        <v>26.808349615384621</v>
      </c>
      <c r="D92" s="158">
        <f t="shared" si="1"/>
        <v>0.98340038461538448</v>
      </c>
      <c r="E92" s="163">
        <f>Table3C.7_57TTSMoney[[#This Row],[Car Delay Savings (hrs)]]*All_Purpose_Travel*Passenger_Vehicles_Occupancy</f>
        <v>841.67494452461563</v>
      </c>
      <c r="F92" s="163">
        <f>Table3C.7_57TTSMoney[[#This Row],[Truck Delay Savings (hrs)]]*Truck_Travel</f>
        <v>31.862172461538457</v>
      </c>
      <c r="G92" s="163">
        <f>(Table3C.7_57TTSMoney[[#This Row],[Truck Savings Benefits (Daily)]]+Table3C.7_57TTSMoney[[#This Row],[Car Savings Benefits (Daily)]])*270</f>
        <v>235855.0215862616</v>
      </c>
      <c r="H92" s="163">
        <f>(Table3C.7_57TTSMoney[[#This Row],[Car Savings Benefits (Daily)]]+Table3C.7_57TTSMoney[[#This Row],[Truck Savings Benefits (Daily)]])*365</f>
        <v>318841.04769994621</v>
      </c>
    </row>
    <row r="93" spans="1:8">
      <c r="B93" s="143">
        <v>0.33333333333333298</v>
      </c>
      <c r="C93" s="158">
        <f t="shared" si="0"/>
        <v>-36.813997545409912</v>
      </c>
      <c r="D93" s="158">
        <f t="shared" si="1"/>
        <v>-1.0597968990345279</v>
      </c>
      <c r="E93" s="163">
        <f>Table3C.7_57TTSMoney[[#This Row],[Car Delay Savings (hrs)]]*All_Purpose_Travel*Passenger_Vehicles_Occupancy</f>
        <v>-1155.8122669356894</v>
      </c>
      <c r="F93" s="163">
        <f>Table3C.7_57TTSMoney[[#This Row],[Truck Delay Savings (hrs)]]*Truck_Travel</f>
        <v>-34.337419528718705</v>
      </c>
      <c r="G93" s="163">
        <f>(Table3C.7_57TTSMoney[[#This Row],[Truck Savings Benefits (Daily)]]+Table3C.7_57TTSMoney[[#This Row],[Car Savings Benefits (Daily)]])*270</f>
        <v>-321340.41534539021</v>
      </c>
      <c r="H93" s="163">
        <f>(Table3C.7_57TTSMoney[[#This Row],[Car Savings Benefits (Daily)]]+Table3C.7_57TTSMoney[[#This Row],[Truck Savings Benefits (Daily)]])*365</f>
        <v>-434404.63555950898</v>
      </c>
    </row>
    <row r="94" spans="1:8">
      <c r="B94" s="143">
        <v>0.375</v>
      </c>
      <c r="C94" s="158">
        <f t="shared" si="0"/>
        <v>-15.516568217338214</v>
      </c>
      <c r="D94" s="158">
        <f t="shared" si="1"/>
        <v>-0.78837067155067109</v>
      </c>
      <c r="E94" s="163">
        <f>Table3C.7_57TTSMoney[[#This Row],[Car Delay Savings (hrs)]]*All_Purpose_Travel*Passenger_Vehicles_Occupancy</f>
        <v>-487.15817575155063</v>
      </c>
      <c r="F94" s="163">
        <f>Table3C.7_57TTSMoney[[#This Row],[Truck Delay Savings (hrs)]]*Truck_Travel</f>
        <v>-25.543209758241741</v>
      </c>
      <c r="G94" s="163">
        <f>(Table3C.7_57TTSMoney[[#This Row],[Truck Savings Benefits (Daily)]]+Table3C.7_57TTSMoney[[#This Row],[Car Savings Benefits (Daily)]])*270</f>
        <v>-138429.37408764393</v>
      </c>
      <c r="H94" s="163">
        <f>(Table3C.7_57TTSMoney[[#This Row],[Car Savings Benefits (Daily)]]+Table3C.7_57TTSMoney[[#This Row],[Truck Savings Benefits (Daily)]])*365</f>
        <v>-187136.00571107419</v>
      </c>
    </row>
    <row r="95" spans="1:8">
      <c r="B95" s="143">
        <v>0.41666666666666702</v>
      </c>
      <c r="C95" s="158">
        <f t="shared" si="0"/>
        <v>-14.393651643192483</v>
      </c>
      <c r="D95" s="158">
        <f t="shared" si="1"/>
        <v>-0.26545669014084489</v>
      </c>
      <c r="E95" s="163">
        <f>Table3C.7_57TTSMoney[[#This Row],[Car Delay Savings (hrs)]]*All_Purpose_Travel*Passenger_Vehicles_Occupancy</f>
        <v>-451.90308698967118</v>
      </c>
      <c r="F95" s="163">
        <f>Table3C.7_57TTSMoney[[#This Row],[Truck Delay Savings (hrs)]]*Truck_Travel</f>
        <v>-8.6007967605633731</v>
      </c>
      <c r="G95" s="163">
        <f>(Table3C.7_57TTSMoney[[#This Row],[Truck Savings Benefits (Daily)]]+Table3C.7_57TTSMoney[[#This Row],[Car Savings Benefits (Daily)]])*270</f>
        <v>-124336.04861256332</v>
      </c>
      <c r="H95" s="163">
        <f>(Table3C.7_57TTSMoney[[#This Row],[Car Savings Benefits (Daily)]]+Table3C.7_57TTSMoney[[#This Row],[Truck Savings Benefits (Daily)]])*365</f>
        <v>-168083.9175688356</v>
      </c>
    </row>
    <row r="96" spans="1:8">
      <c r="B96" s="143">
        <v>0.45833333333333298</v>
      </c>
      <c r="C96" s="158">
        <f t="shared" si="0"/>
        <v>-14.511275427756653</v>
      </c>
      <c r="D96" s="158">
        <f t="shared" si="1"/>
        <v>-0.30994957224334596</v>
      </c>
      <c r="E96" s="163">
        <f>Table3C.7_57TTSMoney[[#This Row],[Car Delay Savings (hrs)]]*All_Purpose_Travel*Passenger_Vehicles_Occupancy</f>
        <v>-455.5960033298478</v>
      </c>
      <c r="F96" s="163">
        <f>Table3C.7_57TTSMoney[[#This Row],[Truck Delay Savings (hrs)]]*Truck_Travel</f>
        <v>-10.042366140684409</v>
      </c>
      <c r="G96" s="163">
        <f>(Table3C.7_57TTSMoney[[#This Row],[Truck Savings Benefits (Daily)]]+Table3C.7_57TTSMoney[[#This Row],[Car Savings Benefits (Daily)]])*270</f>
        <v>-125722.3597570437</v>
      </c>
      <c r="H96" s="163">
        <f>(Table3C.7_57TTSMoney[[#This Row],[Car Savings Benefits (Daily)]]+Table3C.7_57TTSMoney[[#This Row],[Truck Savings Benefits (Daily)]])*365</f>
        <v>-169958.00485674426</v>
      </c>
    </row>
    <row r="97" spans="2:8">
      <c r="B97" s="143">
        <v>0.5</v>
      </c>
      <c r="C97" s="158">
        <f t="shared" si="0"/>
        <v>-13.45950905279207</v>
      </c>
      <c r="D97" s="158">
        <f t="shared" si="1"/>
        <v>-0.50293539165237267</v>
      </c>
      <c r="E97" s="163">
        <f>Table3C.7_57TTSMoney[[#This Row],[Car Delay Savings (hrs)]]*All_Purpose_Travel*Passenger_Vehicles_Occupancy</f>
        <v>-422.5747462214598</v>
      </c>
      <c r="F97" s="163">
        <f>Table3C.7_57TTSMoney[[#This Row],[Truck Delay Savings (hrs)]]*Truck_Travel</f>
        <v>-16.295106689536873</v>
      </c>
      <c r="G97" s="163">
        <f>(Table3C.7_57TTSMoney[[#This Row],[Truck Savings Benefits (Daily)]]+Table3C.7_57TTSMoney[[#This Row],[Car Savings Benefits (Daily)]])*270</f>
        <v>-118494.8602859691</v>
      </c>
      <c r="H97" s="163">
        <f>(Table3C.7_57TTSMoney[[#This Row],[Car Savings Benefits (Daily)]]+Table3C.7_57TTSMoney[[#This Row],[Truck Savings Benefits (Daily)]])*365</f>
        <v>-160187.49631251377</v>
      </c>
    </row>
    <row r="98" spans="2:8">
      <c r="B98" s="143">
        <v>0.54166666666666696</v>
      </c>
      <c r="C98" s="158">
        <f t="shared" si="0"/>
        <v>-20.665071538461536</v>
      </c>
      <c r="D98" s="158">
        <f t="shared" si="1"/>
        <v>-0.65603401709401699</v>
      </c>
      <c r="E98" s="163">
        <f>Table3C.7_57TTSMoney[[#This Row],[Car Delay Savings (hrs)]]*All_Purpose_Travel*Passenger_Vehicles_Occupancy</f>
        <v>-648.80058602153838</v>
      </c>
      <c r="F98" s="163">
        <f>Table3C.7_57TTSMoney[[#This Row],[Truck Delay Savings (hrs)]]*Truck_Travel</f>
        <v>-21.255502153846148</v>
      </c>
      <c r="G98" s="163">
        <f>(Table3C.7_57TTSMoney[[#This Row],[Truck Savings Benefits (Daily)]]+Table3C.7_57TTSMoney[[#This Row],[Car Savings Benefits (Daily)]])*270</f>
        <v>-180915.1438073538</v>
      </c>
      <c r="H98" s="163">
        <f>(Table3C.7_57TTSMoney[[#This Row],[Car Savings Benefits (Daily)]]+Table3C.7_57TTSMoney[[#This Row],[Truck Savings Benefits (Daily)]])*365</f>
        <v>-244570.47218401535</v>
      </c>
    </row>
    <row r="99" spans="2:8">
      <c r="B99" s="143">
        <v>0.58333333333333304</v>
      </c>
      <c r="C99" s="158">
        <f t="shared" si="0"/>
        <v>-22.141813670520225</v>
      </c>
      <c r="D99" s="158">
        <f t="shared" si="1"/>
        <v>-0.41727799614643535</v>
      </c>
      <c r="E99" s="163">
        <f>Table3C.7_57TTSMoney[[#This Row],[Car Delay Savings (hrs)]]*All_Purpose_Travel*Passenger_Vehicles_Occupancy</f>
        <v>-695.16438199965296</v>
      </c>
      <c r="F99" s="163">
        <f>Table3C.7_57TTSMoney[[#This Row],[Truck Delay Savings (hrs)]]*Truck_Travel</f>
        <v>-13.519807075144504</v>
      </c>
      <c r="G99" s="163">
        <f>(Table3C.7_57TTSMoney[[#This Row],[Truck Savings Benefits (Daily)]]+Table3C.7_57TTSMoney[[#This Row],[Car Savings Benefits (Daily)]])*270</f>
        <v>-191344.73105019532</v>
      </c>
      <c r="H99" s="163">
        <f>(Table3C.7_57TTSMoney[[#This Row],[Car Savings Benefits (Daily)]]+Table3C.7_57TTSMoney[[#This Row],[Truck Savings Benefits (Daily)]])*365</f>
        <v>-258669.72901230108</v>
      </c>
    </row>
    <row r="100" spans="2:8">
      <c r="B100" s="143">
        <v>0.625</v>
      </c>
      <c r="C100" s="158">
        <f t="shared" si="0"/>
        <v>6.2300515373864513</v>
      </c>
      <c r="D100" s="158">
        <f t="shared" si="1"/>
        <v>0.14022624039133458</v>
      </c>
      <c r="E100" s="163">
        <f>Table3C.7_57TTSMoney[[#This Row],[Car Delay Savings (hrs)]]*All_Purpose_Travel*Passenger_Vehicles_Occupancy</f>
        <v>195.59869806778502</v>
      </c>
      <c r="F100" s="163">
        <f>Table3C.7_57TTSMoney[[#This Row],[Truck Delay Savings (hrs)]]*Truck_Travel</f>
        <v>4.5433301886792403</v>
      </c>
      <c r="G100" s="163">
        <f>(Table3C.7_57TTSMoney[[#This Row],[Truck Savings Benefits (Daily)]]+Table3C.7_57TTSMoney[[#This Row],[Car Savings Benefits (Daily)]])*270</f>
        <v>54038.347629245356</v>
      </c>
      <c r="H100" s="163">
        <f>(Table3C.7_57TTSMoney[[#This Row],[Car Savings Benefits (Daily)]]+Table3C.7_57TTSMoney[[#This Row],[Truck Savings Benefits (Daily)]])*365</f>
        <v>73051.840313609457</v>
      </c>
    </row>
    <row r="101" spans="2:8">
      <c r="B101" s="143">
        <v>0.66666666666666696</v>
      </c>
      <c r="C101" s="158">
        <f t="shared" si="0"/>
        <v>74.482750235849053</v>
      </c>
      <c r="D101" s="158">
        <f t="shared" si="1"/>
        <v>7.0333097484276713E-2</v>
      </c>
      <c r="E101" s="163">
        <f>Table3C.7_57TTSMoney[[#This Row],[Car Delay Savings (hrs)]]*All_Purpose_Travel*Passenger_Vehicles_Occupancy</f>
        <v>2338.4604264047171</v>
      </c>
      <c r="F101" s="163">
        <f>Table3C.7_57TTSMoney[[#This Row],[Truck Delay Savings (hrs)]]*Truck_Travel</f>
        <v>2.2787923584905654</v>
      </c>
      <c r="G101" s="163">
        <f>(Table3C.7_57TTSMoney[[#This Row],[Truck Savings Benefits (Daily)]]+Table3C.7_57TTSMoney[[#This Row],[Car Savings Benefits (Daily)]])*270</f>
        <v>631999.58906606608</v>
      </c>
      <c r="H101" s="163">
        <f>(Table3C.7_57TTSMoney[[#This Row],[Car Savings Benefits (Daily)]]+Table3C.7_57TTSMoney[[#This Row],[Truck Savings Benefits (Daily)]])*365</f>
        <v>854369.81484857074</v>
      </c>
    </row>
    <row r="102" spans="2:8">
      <c r="B102" s="143">
        <v>0.70833333333333304</v>
      </c>
      <c r="C102" s="158">
        <f t="shared" si="0"/>
        <v>144.65954855833331</v>
      </c>
      <c r="D102" s="158">
        <f t="shared" si="1"/>
        <v>1.3137597750000001</v>
      </c>
      <c r="E102" s="163">
        <f>Table3C.7_57TTSMoney[[#This Row],[Car Delay Savings (hrs)]]*All_Purpose_Travel*Passenger_Vehicles_Occupancy</f>
        <v>4541.7311865374331</v>
      </c>
      <c r="F102" s="163">
        <f>Table3C.7_57TTSMoney[[#This Row],[Truck Delay Savings (hrs)]]*Truck_Travel</f>
        <v>42.56581671</v>
      </c>
      <c r="G102" s="163">
        <f>(Table3C.7_57TTSMoney[[#This Row],[Truck Savings Benefits (Daily)]]+Table3C.7_57TTSMoney[[#This Row],[Car Savings Benefits (Daily)]])*270</f>
        <v>1237760.1908768069</v>
      </c>
      <c r="H102" s="163">
        <f>(Table3C.7_57TTSMoney[[#This Row],[Car Savings Benefits (Daily)]]+Table3C.7_57TTSMoney[[#This Row],[Truck Savings Benefits (Daily)]])*365</f>
        <v>1673268.4061853131</v>
      </c>
    </row>
    <row r="103" spans="2:8">
      <c r="B103" s="143">
        <v>0.75</v>
      </c>
      <c r="C103" s="158">
        <f t="shared" si="0"/>
        <v>165.9817801767677</v>
      </c>
      <c r="D103" s="158">
        <f t="shared" si="1"/>
        <v>1.2670364898989899</v>
      </c>
      <c r="E103" s="163">
        <f>Table3C.7_57TTSMoney[[#This Row],[Car Delay Savings (hrs)]]*All_Purpose_Travel*Passenger_Vehicles_Occupancy</f>
        <v>5211.1639704297986</v>
      </c>
      <c r="F103" s="163">
        <f>Table3C.7_57TTSMoney[[#This Row],[Truck Delay Savings (hrs)]]*Truck_Travel</f>
        <v>41.051982272727273</v>
      </c>
      <c r="G103" s="163">
        <f>(Table3C.7_57TTSMoney[[#This Row],[Truck Savings Benefits (Daily)]]+Table3C.7_57TTSMoney[[#This Row],[Car Savings Benefits (Daily)]])*270</f>
        <v>1418098.3072296821</v>
      </c>
      <c r="H103" s="163">
        <f>(Table3C.7_57TTSMoney[[#This Row],[Car Savings Benefits (Daily)]]+Table3C.7_57TTSMoney[[#This Row],[Truck Savings Benefits (Daily)]])*365</f>
        <v>1917058.8227364221</v>
      </c>
    </row>
    <row r="104" spans="2:8">
      <c r="B104" s="143">
        <v>0.79166666666666663</v>
      </c>
      <c r="C104" s="158">
        <f t="shared" si="0"/>
        <v>131.55456193853428</v>
      </c>
      <c r="D104" s="158">
        <f t="shared" si="1"/>
        <v>1.8928713947990539</v>
      </c>
      <c r="E104" s="163">
        <f>Table3C.7_57TTSMoney[[#This Row],[Car Delay Savings (hrs)]]*All_Purpose_Travel*Passenger_Vehicles_Occupancy</f>
        <v>4130.2870266222217</v>
      </c>
      <c r="F104" s="163">
        <f>Table3C.7_57TTSMoney[[#This Row],[Truck Delay Savings (hrs)]]*Truck_Travel</f>
        <v>61.329033191489344</v>
      </c>
      <c r="G104" s="163">
        <f>(Table3C.7_57TTSMoney[[#This Row],[Truck Savings Benefits (Daily)]]+Table3C.7_57TTSMoney[[#This Row],[Car Savings Benefits (Daily)]])*270</f>
        <v>1131736.3361497021</v>
      </c>
      <c r="H104" s="163">
        <f>(Table3C.7_57TTSMoney[[#This Row],[Car Savings Benefits (Daily)]]+Table3C.7_57TTSMoney[[#This Row],[Truck Savings Benefits (Daily)]])*365</f>
        <v>1529939.8618320045</v>
      </c>
    </row>
    <row r="105" spans="2:8" ht="13.5" thickBot="1">
      <c r="B105" s="143">
        <v>0.83333333333333337</v>
      </c>
      <c r="C105" s="162">
        <f t="shared" si="0"/>
        <v>33.486074999999992</v>
      </c>
      <c r="D105" s="162">
        <f t="shared" si="1"/>
        <v>0</v>
      </c>
      <c r="E105" s="164">
        <f>Table3C.7_57TTSMoney[[#This Row],[Car Delay Savings (hrs)]]*All_Purpose_Travel*Passenger_Vehicles_Occupancy</f>
        <v>1051.3288106999998</v>
      </c>
      <c r="F105" s="164">
        <f>Table3C.7_57TTSMoney[[#This Row],[Truck Delay Savings (hrs)]]*Truck_Travel</f>
        <v>0</v>
      </c>
      <c r="G105" s="164">
        <f>(Table3C.7_57TTSMoney[[#This Row],[Truck Savings Benefits (Daily)]]+Table3C.7_57TTSMoney[[#This Row],[Car Savings Benefits (Daily)]])*270</f>
        <v>283858.77888899995</v>
      </c>
      <c r="H105" s="164">
        <f>(Table3C.7_57TTSMoney[[#This Row],[Car Savings Benefits (Daily)]]+Table3C.7_57TTSMoney[[#This Row],[Truck Savings Benefits (Daily)]])*365</f>
        <v>383735.01590549992</v>
      </c>
    </row>
    <row r="106" spans="2:8" ht="13.5" thickTop="1">
      <c r="B106" s="90" t="s">
        <v>26</v>
      </c>
      <c r="C106" s="154">
        <f>SUBTOTAL(109,Table3C.7_57TTSMoney[Car Delay Savings (hrs)])</f>
        <v>439.99873254157063</v>
      </c>
      <c r="D106" s="154">
        <f>SUBTOTAL(109,Table3C.7_57TTSMoney[Truck Delay Savings (hrs)])</f>
        <v>1.4633341250960556</v>
      </c>
      <c r="E106" s="127">
        <f>SUBTOTAL(109,Table3C.7_57TTSMoney[Car Savings Benefits (Daily)])</f>
        <v>13814.20020687515</v>
      </c>
      <c r="F106" s="127">
        <f>SUBTOTAL(109,Table3C.7_57TTSMoney[Truck Savings Benefits (Daily)])</f>
        <v>47.412025653112188</v>
      </c>
      <c r="G106" s="127">
        <f>SUBTOTAL(109,Table3C.7_57TTSMoney[Total Benefits, Low (270 Days)])</f>
        <v>3742635.3027826319</v>
      </c>
      <c r="H106" s="127">
        <f>SUBTOTAL(109,Table3C.7_57TTSMoney[Total Benefits, High (365 Days)])</f>
        <v>5059488.4648728166</v>
      </c>
    </row>
  </sheetData>
  <mergeCells count="6">
    <mergeCell ref="B89:H89"/>
    <mergeCell ref="A1:I1"/>
    <mergeCell ref="B9:H9"/>
    <mergeCell ref="B29:H29"/>
    <mergeCell ref="B49:H49"/>
    <mergeCell ref="B69:H69"/>
  </mergeCells>
  <pageMargins left="0.7" right="0.7" top="0.75" bottom="0.75" header="0.3" footer="0.3"/>
  <pageSetup scale="61" fitToHeight="2" orientation="portrait" r:id="rId1"/>
  <rowBreaks count="1" manualBreakCount="1">
    <brk id="67" max="16383" man="1"/>
  </rowBreaks>
  <drawing r:id="rId2"/>
  <tableParts count="5">
    <tablePart r:id="rId3"/>
    <tablePart r:id="rId4"/>
    <tablePart r:id="rId5"/>
    <tablePart r:id="rId6"/>
    <tablePart r:id="rId7"/>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E9C50-B9D7-42FF-8F0C-5E36960C37D6}">
  <sheetPr>
    <tabColor theme="0" tint="-0.249977111117893"/>
    <pageSetUpPr fitToPage="1"/>
  </sheetPr>
  <dimension ref="A1:I128"/>
  <sheetViews>
    <sheetView showGridLines="0" view="pageBreakPreview" zoomScale="85" zoomScaleNormal="90" zoomScaleSheetLayoutView="85" workbookViewId="0">
      <selection activeCell="A3" sqref="A3:XFD3"/>
    </sheetView>
  </sheetViews>
  <sheetFormatPr defaultColWidth="9.140625" defaultRowHeight="12.75"/>
  <cols>
    <col min="1" max="1" width="16.28515625" style="82" customWidth="1"/>
    <col min="2" max="7" width="18.85546875" style="82" customWidth="1"/>
    <col min="8" max="8" width="21.42578125" style="82" customWidth="1"/>
    <col min="9" max="9" width="5.7109375" style="82" customWidth="1"/>
    <col min="10" max="16384" width="9.140625" style="82"/>
  </cols>
  <sheetData>
    <row r="1" spans="1:9" ht="15" customHeight="1">
      <c r="A1" s="433" t="s">
        <v>213</v>
      </c>
      <c r="B1" s="434"/>
      <c r="C1" s="434"/>
      <c r="D1" s="434"/>
      <c r="E1" s="434"/>
      <c r="F1" s="434"/>
      <c r="G1" s="434"/>
      <c r="H1" s="434"/>
      <c r="I1" s="434"/>
    </row>
    <row r="2" spans="1:9" ht="15" customHeight="1">
      <c r="A2" s="87" t="s">
        <v>1</v>
      </c>
      <c r="B2" s="63" t="str">
        <f>Project_Name</f>
        <v>Right-Sizing Route 37: Improving Community Connectivity</v>
      </c>
    </row>
    <row r="3" spans="1:9" ht="15" hidden="1" customHeight="1">
      <c r="A3" s="87" t="s">
        <v>2</v>
      </c>
      <c r="B3" s="63"/>
    </row>
    <row r="4" spans="1:9" ht="15" customHeight="1">
      <c r="A4" s="87" t="s">
        <v>3</v>
      </c>
      <c r="B4" s="88">
        <f>Date</f>
        <v>44985</v>
      </c>
    </row>
    <row r="5" spans="1:9" ht="17.25" customHeight="1">
      <c r="A5" s="87"/>
      <c r="B5" s="87"/>
      <c r="C5" s="88"/>
    </row>
    <row r="7" spans="1:9">
      <c r="B7" s="71" t="s">
        <v>214</v>
      </c>
    </row>
    <row r="8" spans="1:9">
      <c r="B8" s="71"/>
      <c r="C8" s="71"/>
      <c r="D8" s="71"/>
      <c r="E8" s="71"/>
      <c r="F8" s="71"/>
      <c r="G8" s="71"/>
      <c r="H8" s="71"/>
      <c r="I8" s="71"/>
    </row>
    <row r="9" spans="1:9" s="112" customFormat="1" ht="25.5">
      <c r="B9" s="123" t="s">
        <v>19</v>
      </c>
      <c r="C9" s="123" t="s">
        <v>148</v>
      </c>
      <c r="D9" s="123" t="s">
        <v>149</v>
      </c>
      <c r="E9" s="123" t="s">
        <v>150</v>
      </c>
      <c r="F9" s="123" t="s">
        <v>151</v>
      </c>
      <c r="G9" s="123" t="s">
        <v>215</v>
      </c>
      <c r="H9" s="123" t="s">
        <v>152</v>
      </c>
    </row>
    <row r="10" spans="1:9">
      <c r="B10" s="123">
        <f>First_Year+'Appendix B. Project Info'!B20</f>
        <v>2023</v>
      </c>
      <c r="C10" s="219" cm="1">
        <f t="array" ref="C10">IF(Table3D.1_DailyTTS_NB[[#This Row],[Year]]=Closeout,Traffic_27NB,Traffic_27NB+(TrafChange_NB*(Table3D.1_DailyTTS_NB[[#This Row],[Year]]-2027)))</f>
        <v>58699.466666666667</v>
      </c>
      <c r="D10" s="165" cm="1">
        <f t="array" ref="D10">IF(Table3D.1_DailyTTS_NB[[#This Row],[Year]]=Closeout,VMT_27NB,VMT_27NB+(VMTChange_NB*(Table3D.1_DailyTTS_NB[[#This Row],[Year]]-2027)))</f>
        <v>46811.291333333327</v>
      </c>
      <c r="E10" s="165" cm="1">
        <f t="array" ref="E10">IF(Table3D.1_DailyTTS_NB[[#This Row],[Year]]=Closeout,VHT_27NB,VHT_27NB+(VHTChange_NB*(Table3D.1_DailyTTS_NB[[#This Row],[Year]]-2027)))</f>
        <v>1570.6659862962965</v>
      </c>
      <c r="F10" s="165" cm="1">
        <f t="array" ref="F10">IF(Table3D.1_DailyTTS_NB[[#This Row],[Year]]=Closeout,MPH_27NB,MPH_27NB+(MPHChange_NB*(Table3D.1_DailyTTS_NB[[#This Row],[Year]]-2027)))</f>
        <v>30.738044444444441</v>
      </c>
      <c r="G10" s="165" cm="1">
        <f t="array" ref="G10">IF(Table3D.1_DailyTTS_NB[[#This Row],[Year]]=Closeout,DelayTot_27NB,DelayTot_27NB+(DelayTotChange_NB*(Table3D.1_DailyTTS_NB[[#This Row],[Year]]-2027)))</f>
        <v>336.64452129629626</v>
      </c>
      <c r="H10" s="166" cm="1">
        <f t="array" ref="H10">IF(Table3D.1_DailyTTS_NB[[#This Row],[Year]]=Closeout,AvgDelay_27NB,AvgDelay_27NB+(DelayChange_NB*(Table3D.1_DailyTTS_NB[[#This Row],[Year]]-2027)))</f>
        <v>4.8315604072248653E-3</v>
      </c>
    </row>
    <row r="11" spans="1:9">
      <c r="B11" s="123">
        <f>First_Year+'Appendix B. Project Info'!B21</f>
        <v>2024</v>
      </c>
      <c r="C11" s="219" cm="1">
        <f t="array" ref="C11">IF(Table3D.1_DailyTTS_NB[[#This Row],[Year]]=Closeout,Traffic_27NB,Traffic_27NB+(TrafChange_NB*(Table3D.1_DailyTTS_NB[[#This Row],[Year]]-2027)))</f>
        <v>58837.599999999999</v>
      </c>
      <c r="D11" s="165" cm="1">
        <f t="array" ref="D11">IF(Table3D.1_DailyTTS_NB[[#This Row],[Year]]=Closeout,VMT_27NB,VMT_27NB+(VMTChange_NB*(Table3D.1_DailyTTS_NB[[#This Row],[Year]]-2027)))</f>
        <v>46900.625999999997</v>
      </c>
      <c r="E11" s="165" cm="1">
        <f t="array" ref="E11">IF(Table3D.1_DailyTTS_NB[[#This Row],[Year]]=Closeout,VHT_27NB,VHT_27NB+(VHTChange_NB*(Table3D.1_DailyTTS_NB[[#This Row],[Year]]-2027)))</f>
        <v>1594.8692605555559</v>
      </c>
      <c r="F11" s="165" cm="1">
        <f t="array" ref="F11">IF(Table3D.1_DailyTTS_NB[[#This Row],[Year]]=Closeout,MPH_27NB,MPH_27NB+(MPHChange_NB*(Table3D.1_DailyTTS_NB[[#This Row],[Year]]-2027)))</f>
        <v>30.598866666666666</v>
      </c>
      <c r="G11" s="165" cm="1">
        <f t="array" ref="G11">IF(Table3D.1_DailyTTS_NB[[#This Row],[Year]]=Closeout,DelayTot_27NB,DelayTot_27NB+(DelayTotChange_NB*(Table3D.1_DailyTTS_NB[[#This Row],[Year]]-2027)))</f>
        <v>358.52855972222221</v>
      </c>
      <c r="H11" s="166" cm="1">
        <f t="array" ref="H11">IF(Table3D.1_DailyTTS_NB[[#This Row],[Year]]=Closeout,AvgDelay_27NB,AvgDelay_27NB+(DelayChange_NB*(Table3D.1_DailyTTS_NB[[#This Row],[Year]]-2027)))</f>
        <v>5.1805894075383366E-3</v>
      </c>
    </row>
    <row r="12" spans="1:9">
      <c r="B12" s="123">
        <f>First_Year+'Appendix B. Project Info'!B22</f>
        <v>2025</v>
      </c>
      <c r="C12" s="219" cm="1">
        <f t="array" ref="C12">IF(Table3D.1_DailyTTS_NB[[#This Row],[Year]]=Closeout,Traffic_27NB,Traffic_27NB+(TrafChange_NB*(Table3D.1_DailyTTS_NB[[#This Row],[Year]]-2027)))</f>
        <v>58975.73333333333</v>
      </c>
      <c r="D12" s="165" cm="1">
        <f t="array" ref="D12">IF(Table3D.1_DailyTTS_NB[[#This Row],[Year]]=Closeout,VMT_27NB,VMT_27NB+(VMTChange_NB*(Table3D.1_DailyTTS_NB[[#This Row],[Year]]-2027)))</f>
        <v>46989.960666666666</v>
      </c>
      <c r="E12" s="165" cm="1">
        <f t="array" ref="E12">IF(Table3D.1_DailyTTS_NB[[#This Row],[Year]]=Closeout,VHT_27NB,VHT_27NB+(VHTChange_NB*(Table3D.1_DailyTTS_NB[[#This Row],[Year]]-2027)))</f>
        <v>1619.0725348148151</v>
      </c>
      <c r="F12" s="165" cm="1">
        <f t="array" ref="F12">IF(Table3D.1_DailyTTS_NB[[#This Row],[Year]]=Closeout,MPH_27NB,MPH_27NB+(MPHChange_NB*(Table3D.1_DailyTTS_NB[[#This Row],[Year]]-2027)))</f>
        <v>30.459688888888888</v>
      </c>
      <c r="G12" s="165" cm="1">
        <f t="array" ref="G12">IF(Table3D.1_DailyTTS_NB[[#This Row],[Year]]=Closeout,DelayTot_27NB,DelayTot_27NB+(DelayTotChange_NB*(Table3D.1_DailyTTS_NB[[#This Row],[Year]]-2027)))</f>
        <v>380.41259814814816</v>
      </c>
      <c r="H12" s="166" cm="1">
        <f t="array" ref="H12">IF(Table3D.1_DailyTTS_NB[[#This Row],[Year]]=Closeout,AvgDelay_27NB,AvgDelay_27NB+(DelayChange_NB*(Table3D.1_DailyTTS_NB[[#This Row],[Year]]-2027)))</f>
        <v>5.5296184078518079E-3</v>
      </c>
    </row>
    <row r="13" spans="1:9">
      <c r="B13" s="123">
        <f>First_Year+'Appendix B. Project Info'!B23</f>
        <v>2026</v>
      </c>
      <c r="C13" s="219" cm="1">
        <f t="array" ref="C13">IF(Table3D.1_DailyTTS_NB[[#This Row],[Year]]=Closeout,Traffic_27NB,Traffic_27NB+(TrafChange_NB*(Table3D.1_DailyTTS_NB[[#This Row],[Year]]-2027)))</f>
        <v>59113.866666666669</v>
      </c>
      <c r="D13" s="165" cm="1">
        <f t="array" ref="D13">IF(Table3D.1_DailyTTS_NB[[#This Row],[Year]]=Closeout,VMT_27NB,VMT_27NB+(VMTChange_NB*(Table3D.1_DailyTTS_NB[[#This Row],[Year]]-2027)))</f>
        <v>47079.295333333328</v>
      </c>
      <c r="E13" s="165" cm="1">
        <f t="array" ref="E13">IF(Table3D.1_DailyTTS_NB[[#This Row],[Year]]=Closeout,VHT_27NB,VHT_27NB+(VHTChange_NB*(Table3D.1_DailyTTS_NB[[#This Row],[Year]]-2027)))</f>
        <v>1643.2758090740745</v>
      </c>
      <c r="F13" s="165" cm="1">
        <f t="array" ref="F13">IF(Table3D.1_DailyTTS_NB[[#This Row],[Year]]=Closeout,MPH_27NB,MPH_27NB+(MPHChange_NB*(Table3D.1_DailyTTS_NB[[#This Row],[Year]]-2027)))</f>
        <v>30.320511111111109</v>
      </c>
      <c r="G13" s="165" cm="1">
        <f t="array" ref="G13">IF(Table3D.1_DailyTTS_NB[[#This Row],[Year]]=Closeout,DelayTot_27NB,DelayTot_27NB+(DelayTotChange_NB*(Table3D.1_DailyTTS_NB[[#This Row],[Year]]-2027)))</f>
        <v>402.29663657407406</v>
      </c>
      <c r="H13" s="166" cm="1">
        <f t="array" ref="H13">IF(Table3D.1_DailyTTS_NB[[#This Row],[Year]]=Closeout,AvgDelay_27NB,AvgDelay_27NB+(DelayChange_NB*(Table3D.1_DailyTTS_NB[[#This Row],[Year]]-2027)))</f>
        <v>5.8786474081652784E-3</v>
      </c>
    </row>
    <row r="14" spans="1:9">
      <c r="B14" s="123">
        <f>First_Year+'Appendix B. Project Info'!B24</f>
        <v>2027</v>
      </c>
      <c r="C14" s="219" cm="1">
        <f t="array" ref="C14">IF(Table3D.1_DailyTTS_NB[[#This Row],[Year]]=Closeout,Traffic_27NB,Traffic_27NB+(TrafChange_NB*(Table3D.1_DailyTTS_NB[[#This Row],[Year]]-2027)))</f>
        <v>59252</v>
      </c>
      <c r="D14" s="165" cm="1">
        <f t="array" ref="D14">IF(Table3D.1_DailyTTS_NB[[#This Row],[Year]]=Closeout,VMT_27NB,VMT_27NB+(VMTChange_NB*(Table3D.1_DailyTTS_NB[[#This Row],[Year]]-2027)))</f>
        <v>47168.63</v>
      </c>
      <c r="E14" s="165" cm="1">
        <f t="array" ref="E14">IF(Table3D.1_DailyTTS_NB[[#This Row],[Year]]=Closeout,VHT_27NB,VHT_27NB+(VHTChange_NB*(Table3D.1_DailyTTS_NB[[#This Row],[Year]]-2027)))</f>
        <v>1667.4790833333336</v>
      </c>
      <c r="F14" s="165" cm="1">
        <f t="array" ref="F14">IF(Table3D.1_DailyTTS_NB[[#This Row],[Year]]=Closeout,MPH_27NB,MPH_27NB+(MPHChange_NB*(Table3D.1_DailyTTS_NB[[#This Row],[Year]]-2027)))</f>
        <v>30.181333333333331</v>
      </c>
      <c r="G14" s="165" cm="1">
        <f t="array" ref="G14">IF(Table3D.1_DailyTTS_NB[[#This Row],[Year]]=Closeout,DelayTot_27NB,DelayTot_27NB+(DelayTotChange_NB*(Table3D.1_DailyTTS_NB[[#This Row],[Year]]-2027)))</f>
        <v>424.18067500000001</v>
      </c>
      <c r="H14" s="166" cm="1">
        <f t="array" ref="H14">IF(Table3D.1_DailyTTS_NB[[#This Row],[Year]]=Closeout,AvgDelay_27NB,AvgDelay_27NB+(DelayChange_NB*(Table3D.1_DailyTTS_NB[[#This Row],[Year]]-2027)))</f>
        <v>6.2276764084787497E-3</v>
      </c>
    </row>
    <row r="15" spans="1:9">
      <c r="B15" s="123">
        <f>First_Year+'Appendix B. Project Info'!B25</f>
        <v>2028</v>
      </c>
      <c r="C15" s="173" cm="1">
        <f t="array" ref="C15">IF(Table3D.1_DailyTTS_NB[[#This Row],[Year]]=Closeout,Traffic_27NB,Traffic_27NB+(TrafChange_NB*(Table3D.1_DailyTTS_NB[[#This Row],[Year]]-2027)))</f>
        <v>59252</v>
      </c>
      <c r="D15" s="165" cm="1">
        <f t="array" ref="D15">IF(Table3D.1_DailyTTS_NB[[#This Row],[Year]]=Closeout,VMT_27NB,VMT_27NB+(VMTChange_NB*(Table3D.1_DailyTTS_NB[[#This Row],[Year]]-2027)))</f>
        <v>47168.63</v>
      </c>
      <c r="E15" s="165" cm="1">
        <f t="array" ref="E15">IF(Table3D.1_DailyTTS_NB[[#This Row],[Year]]=Closeout,VHT_27NB,VHT_27NB+(VHTChange_NB*(Table3D.1_DailyTTS_NB[[#This Row],[Year]]-2027)))</f>
        <v>1667.4790833333336</v>
      </c>
      <c r="F15" s="165" cm="1">
        <f t="array" ref="F15">IF(Table3D.1_DailyTTS_NB[[#This Row],[Year]]=Closeout,MPH_27NB,MPH_27NB+(MPHChange_NB*(Table3D.1_DailyTTS_NB[[#This Row],[Year]]-2027)))</f>
        <v>30.181333333333331</v>
      </c>
      <c r="G15" s="165" cm="1">
        <f t="array" ref="G15">IF(Table3D.1_DailyTTS_NB[[#This Row],[Year]]=Closeout,DelayTot_27NB,DelayTot_27NB+(DelayTotChange_NB*(Table3D.1_DailyTTS_NB[[#This Row],[Year]]-2027)))</f>
        <v>424.18067500000001</v>
      </c>
      <c r="H15" s="166" cm="1">
        <f t="array" ref="H15">IF(Table3D.1_DailyTTS_NB[[#This Row],[Year]]=Closeout,AvgDelay_27NB,AvgDelay_27NB+(DelayChange_NB*(Table3D.1_DailyTTS_NB[[#This Row],[Year]]-2027)))</f>
        <v>6.2276764084787497E-3</v>
      </c>
    </row>
    <row r="16" spans="1:9">
      <c r="B16" s="123">
        <f>First_Year+'Appendix B. Project Info'!B26</f>
        <v>2029</v>
      </c>
      <c r="C16" s="173" cm="1">
        <f t="array" ref="C16">IF(Table3D.1_DailyTTS_NB[[#This Row],[Year]]=Closeout,Traffic_27NB,Traffic_27NB+(TrafChange_NB*(Table3D.1_DailyTTS_NB[[#This Row],[Year]]-2027)))</f>
        <v>59528.26666666667</v>
      </c>
      <c r="D16" s="165" cm="1">
        <f t="array" ref="D16">IF(Table3D.1_DailyTTS_NB[[#This Row],[Year]]=Closeout,VMT_27NB,VMT_27NB+(VMTChange_NB*(Table3D.1_DailyTTS_NB[[#This Row],[Year]]-2027)))</f>
        <v>47347.299333333329</v>
      </c>
      <c r="E16" s="165" cm="1">
        <f t="array" ref="E16">IF(Table3D.1_DailyTTS_NB[[#This Row],[Year]]=Closeout,VHT_27NB,VHT_27NB+(VHTChange_NB*(Table3D.1_DailyTTS_NB[[#This Row],[Year]]-2027)))</f>
        <v>1715.8856318518522</v>
      </c>
      <c r="F16" s="165" cm="1">
        <f t="array" ref="F16">IF(Table3D.1_DailyTTS_NB[[#This Row],[Year]]=Closeout,MPH_27NB,MPH_27NB+(MPHChange_NB*(Table3D.1_DailyTTS_NB[[#This Row],[Year]]-2027)))</f>
        <v>29.902977777777775</v>
      </c>
      <c r="G16" s="165" cm="1">
        <f t="array" ref="G16">IF(Table3D.1_DailyTTS_NB[[#This Row],[Year]]=Closeout,DelayTot_27NB,DelayTot_27NB+(DelayTotChange_NB*(Table3D.1_DailyTTS_NB[[#This Row],[Year]]-2027)))</f>
        <v>467.94875185185185</v>
      </c>
      <c r="H16" s="166" cm="1">
        <f t="array" ref="H16">IF(Table3D.1_DailyTTS_NB[[#This Row],[Year]]=Closeout,AvgDelay_27NB,AvgDelay_27NB+(DelayChange_NB*(Table3D.1_DailyTTS_NB[[#This Row],[Year]]-2027)))</f>
        <v>6.9257344091056914E-3</v>
      </c>
    </row>
    <row r="17" spans="2:8">
      <c r="B17" s="123">
        <f>First_Year+'Appendix B. Project Info'!B27</f>
        <v>2030</v>
      </c>
      <c r="C17" s="173" cm="1">
        <f t="array" ref="C17">IF(Table3D.1_DailyTTS_NB[[#This Row],[Year]]=Closeout,Traffic_27NB,Traffic_27NB+(TrafChange_NB*(Table3D.1_DailyTTS_NB[[#This Row],[Year]]-2027)))</f>
        <v>59666.400000000001</v>
      </c>
      <c r="D17" s="165" cm="1">
        <f t="array" ref="D17">IF(Table3D.1_DailyTTS_NB[[#This Row],[Year]]=Closeout,VMT_27NB,VMT_27NB+(VMTChange_NB*(Table3D.1_DailyTTS_NB[[#This Row],[Year]]-2027)))</f>
        <v>47436.633999999998</v>
      </c>
      <c r="E17" s="165" cm="1">
        <f t="array" ref="E17">IF(Table3D.1_DailyTTS_NB[[#This Row],[Year]]=Closeout,VHT_27NB,VHT_27NB+(VHTChange_NB*(Table3D.1_DailyTTS_NB[[#This Row],[Year]]-2027)))</f>
        <v>1740.0889061111113</v>
      </c>
      <c r="F17" s="165" cm="1">
        <f t="array" ref="F17">IF(Table3D.1_DailyTTS_NB[[#This Row],[Year]]=Closeout,MPH_27NB,MPH_27NB+(MPHChange_NB*(Table3D.1_DailyTTS_NB[[#This Row],[Year]]-2027)))</f>
        <v>29.763799999999996</v>
      </c>
      <c r="G17" s="165" cm="1">
        <f t="array" ref="G17">IF(Table3D.1_DailyTTS_NB[[#This Row],[Year]]=Closeout,DelayTot_27NB,DelayTot_27NB+(DelayTotChange_NB*(Table3D.1_DailyTTS_NB[[#This Row],[Year]]-2027)))</f>
        <v>489.8327902777778</v>
      </c>
      <c r="H17" s="166" cm="1">
        <f t="array" ref="H17">IF(Table3D.1_DailyTTS_NB[[#This Row],[Year]]=Closeout,AvgDelay_27NB,AvgDelay_27NB+(DelayChange_NB*(Table3D.1_DailyTTS_NB[[#This Row],[Year]]-2027)))</f>
        <v>7.2747634094191627E-3</v>
      </c>
    </row>
    <row r="18" spans="2:8">
      <c r="B18" s="123">
        <f>First_Year+'Appendix B. Project Info'!B28</f>
        <v>2031</v>
      </c>
      <c r="C18" s="173" cm="1">
        <f t="array" ref="C18">IF(Table3D.1_DailyTTS_NB[[#This Row],[Year]]=Closeout,Traffic_27NB,Traffic_27NB+(TrafChange_NB*(Table3D.1_DailyTTS_NB[[#This Row],[Year]]-2027)))</f>
        <v>59804.533333333333</v>
      </c>
      <c r="D18" s="165" cm="1">
        <f t="array" ref="D18">IF(Table3D.1_DailyTTS_NB[[#This Row],[Year]]=Closeout,VMT_27NB,VMT_27NB+(VMTChange_NB*(Table3D.1_DailyTTS_NB[[#This Row],[Year]]-2027)))</f>
        <v>47525.968666666668</v>
      </c>
      <c r="E18" s="165" cm="1">
        <f t="array" ref="E18">IF(Table3D.1_DailyTTS_NB[[#This Row],[Year]]=Closeout,VHT_27NB,VHT_27NB+(VHTChange_NB*(Table3D.1_DailyTTS_NB[[#This Row],[Year]]-2027)))</f>
        <v>1764.2921803703707</v>
      </c>
      <c r="F18" s="165" cm="1">
        <f t="array" ref="F18">IF(Table3D.1_DailyTTS_NB[[#This Row],[Year]]=Closeout,MPH_27NB,MPH_27NB+(MPHChange_NB*(Table3D.1_DailyTTS_NB[[#This Row],[Year]]-2027)))</f>
        <v>29.624622222222222</v>
      </c>
      <c r="G18" s="165" cm="1">
        <f t="array" ref="G18">IF(Table3D.1_DailyTTS_NB[[#This Row],[Year]]=Closeout,DelayTot_27NB,DelayTot_27NB+(DelayTotChange_NB*(Table3D.1_DailyTTS_NB[[#This Row],[Year]]-2027)))</f>
        <v>511.71682870370375</v>
      </c>
      <c r="H18" s="166" cm="1">
        <f t="array" ref="H18">IF(Table3D.1_DailyTTS_NB[[#This Row],[Year]]=Closeout,AvgDelay_27NB,AvgDelay_27NB+(DelayChange_NB*(Table3D.1_DailyTTS_NB[[#This Row],[Year]]-2027)))</f>
        <v>7.623792409732634E-3</v>
      </c>
    </row>
    <row r="19" spans="2:8">
      <c r="B19" s="123">
        <f>First_Year+'Appendix B. Project Info'!B29</f>
        <v>2032</v>
      </c>
      <c r="C19" s="173" cm="1">
        <f t="array" ref="C19">IF(Table3D.1_DailyTTS_NB[[#This Row],[Year]]=Closeout,Traffic_27NB,Traffic_27NB+(TrafChange_NB*(Table3D.1_DailyTTS_NB[[#This Row],[Year]]-2027)))</f>
        <v>59942.666666666664</v>
      </c>
      <c r="D19" s="165" cm="1">
        <f t="array" ref="D19">IF(Table3D.1_DailyTTS_NB[[#This Row],[Year]]=Closeout,VMT_27NB,VMT_27NB+(VMTChange_NB*(Table3D.1_DailyTTS_NB[[#This Row],[Year]]-2027)))</f>
        <v>47615.30333333333</v>
      </c>
      <c r="E19" s="165" cm="1">
        <f t="array" ref="E19">IF(Table3D.1_DailyTTS_NB[[#This Row],[Year]]=Closeout,VHT_27NB,VHT_27NB+(VHTChange_NB*(Table3D.1_DailyTTS_NB[[#This Row],[Year]]-2027)))</f>
        <v>1788.4954546296299</v>
      </c>
      <c r="F19" s="165" cm="1">
        <f t="array" ref="F19">IF(Table3D.1_DailyTTS_NB[[#This Row],[Year]]=Closeout,MPH_27NB,MPH_27NB+(MPHChange_NB*(Table3D.1_DailyTTS_NB[[#This Row],[Year]]-2027)))</f>
        <v>29.485444444444443</v>
      </c>
      <c r="G19" s="165" cm="1">
        <f t="array" ref="G19">IF(Table3D.1_DailyTTS_NB[[#This Row],[Year]]=Closeout,DelayTot_27NB,DelayTot_27NB+(DelayTotChange_NB*(Table3D.1_DailyTTS_NB[[#This Row],[Year]]-2027)))</f>
        <v>533.60086712962971</v>
      </c>
      <c r="H19" s="166" cm="1">
        <f t="array" ref="H19">IF(Table3D.1_DailyTTS_NB[[#This Row],[Year]]=Closeout,AvgDelay_27NB,AvgDelay_27NB+(DelayChange_NB*(Table3D.1_DailyTTS_NB[[#This Row],[Year]]-2027)))</f>
        <v>7.9728214100461044E-3</v>
      </c>
    </row>
    <row r="20" spans="2:8">
      <c r="B20" s="123">
        <f>First_Year+'Appendix B. Project Info'!B30</f>
        <v>2033</v>
      </c>
      <c r="C20" s="173" cm="1">
        <f t="array" ref="C20">IF(Table3D.1_DailyTTS_NB[[#This Row],[Year]]=Closeout,Traffic_27NB,Traffic_27NB+(TrafChange_NB*(Table3D.1_DailyTTS_NB[[#This Row],[Year]]-2027)))</f>
        <v>60080.800000000003</v>
      </c>
      <c r="D20" s="165" cm="1">
        <f t="array" ref="D20">IF(Table3D.1_DailyTTS_NB[[#This Row],[Year]]=Closeout,VMT_27NB,VMT_27NB+(VMTChange_NB*(Table3D.1_DailyTTS_NB[[#This Row],[Year]]-2027)))</f>
        <v>47704.637999999999</v>
      </c>
      <c r="E20" s="165" cm="1">
        <f t="array" ref="E20">IF(Table3D.1_DailyTTS_NB[[#This Row],[Year]]=Closeout,VHT_27NB,VHT_27NB+(VHTChange_NB*(Table3D.1_DailyTTS_NB[[#This Row],[Year]]-2027)))</f>
        <v>1812.698728888889</v>
      </c>
      <c r="F20" s="165" cm="1">
        <f t="array" ref="F20">IF(Table3D.1_DailyTTS_NB[[#This Row],[Year]]=Closeout,MPH_27NB,MPH_27NB+(MPHChange_NB*(Table3D.1_DailyTTS_NB[[#This Row],[Year]]-2027)))</f>
        <v>29.346266666666665</v>
      </c>
      <c r="G20" s="165" cm="1">
        <f t="array" ref="G20">IF(Table3D.1_DailyTTS_NB[[#This Row],[Year]]=Closeout,DelayTot_27NB,DelayTot_27NB+(DelayTotChange_NB*(Table3D.1_DailyTTS_NB[[#This Row],[Year]]-2027)))</f>
        <v>555.48490555555554</v>
      </c>
      <c r="H20" s="166" cm="1">
        <f t="array" ref="H20">IF(Table3D.1_DailyTTS_NB[[#This Row],[Year]]=Closeout,AvgDelay_27NB,AvgDelay_27NB+(DelayChange_NB*(Table3D.1_DailyTTS_NB[[#This Row],[Year]]-2027)))</f>
        <v>8.3218504103595766E-3</v>
      </c>
    </row>
    <row r="21" spans="2:8">
      <c r="B21" s="123">
        <f>First_Year+'Appendix B. Project Info'!B31</f>
        <v>2034</v>
      </c>
      <c r="C21" s="173" cm="1">
        <f t="array" ref="C21">IF(Table3D.1_DailyTTS_NB[[#This Row],[Year]]=Closeout,Traffic_27NB,Traffic_27NB+(TrafChange_NB*(Table3D.1_DailyTTS_NB[[#This Row],[Year]]-2027)))</f>
        <v>60218.933333333334</v>
      </c>
      <c r="D21" s="165" cm="1">
        <f t="array" ref="D21">IF(Table3D.1_DailyTTS_NB[[#This Row],[Year]]=Closeout,VMT_27NB,VMT_27NB+(VMTChange_NB*(Table3D.1_DailyTTS_NB[[#This Row],[Year]]-2027)))</f>
        <v>47793.972666666661</v>
      </c>
      <c r="E21" s="165" cm="1">
        <f t="array" ref="E21">IF(Table3D.1_DailyTTS_NB[[#This Row],[Year]]=Closeout,VHT_27NB,VHT_27NB+(VHTChange_NB*(Table3D.1_DailyTTS_NB[[#This Row],[Year]]-2027)))</f>
        <v>1836.9020031481484</v>
      </c>
      <c r="F21" s="165" cm="1">
        <f t="array" ref="F21">IF(Table3D.1_DailyTTS_NB[[#This Row],[Year]]=Closeout,MPH_27NB,MPH_27NB+(MPHChange_NB*(Table3D.1_DailyTTS_NB[[#This Row],[Year]]-2027)))</f>
        <v>29.207088888888887</v>
      </c>
      <c r="G21" s="165" cm="1">
        <f t="array" ref="G21">IF(Table3D.1_DailyTTS_NB[[#This Row],[Year]]=Closeout,DelayTot_27NB,DelayTot_27NB+(DelayTotChange_NB*(Table3D.1_DailyTTS_NB[[#This Row],[Year]]-2027)))</f>
        <v>577.36894398148149</v>
      </c>
      <c r="H21" s="166" cm="1">
        <f t="array" ref="H21">IF(Table3D.1_DailyTTS_NB[[#This Row],[Year]]=Closeout,AvgDelay_27NB,AvgDelay_27NB+(DelayChange_NB*(Table3D.1_DailyTTS_NB[[#This Row],[Year]]-2027)))</f>
        <v>8.670879410673047E-3</v>
      </c>
    </row>
    <row r="22" spans="2:8">
      <c r="B22" s="123">
        <f>First_Year+'Appendix B. Project Info'!B32</f>
        <v>2035</v>
      </c>
      <c r="C22" s="173" cm="1">
        <f t="array" ref="C22">IF(Table3D.1_DailyTTS_NB[[#This Row],[Year]]=Closeout,Traffic_27NB,Traffic_27NB+(TrafChange_NB*(Table3D.1_DailyTTS_NB[[#This Row],[Year]]-2027)))</f>
        <v>60357.066666666666</v>
      </c>
      <c r="D22" s="165" cm="1">
        <f t="array" ref="D22">IF(Table3D.1_DailyTTS_NB[[#This Row],[Year]]=Closeout,VMT_27NB,VMT_27NB+(VMTChange_NB*(Table3D.1_DailyTTS_NB[[#This Row],[Year]]-2027)))</f>
        <v>47883.30733333333</v>
      </c>
      <c r="E22" s="165" cm="1">
        <f t="array" ref="E22">IF(Table3D.1_DailyTTS_NB[[#This Row],[Year]]=Closeout,VHT_27NB,VHT_27NB+(VHTChange_NB*(Table3D.1_DailyTTS_NB[[#This Row],[Year]]-2027)))</f>
        <v>1861.1052774074076</v>
      </c>
      <c r="F22" s="165" cm="1">
        <f t="array" ref="F22">IF(Table3D.1_DailyTTS_NB[[#This Row],[Year]]=Closeout,MPH_27NB,MPH_27NB+(MPHChange_NB*(Table3D.1_DailyTTS_NB[[#This Row],[Year]]-2027)))</f>
        <v>29.067911111111108</v>
      </c>
      <c r="G22" s="165" cm="1">
        <f t="array" ref="G22">IF(Table3D.1_DailyTTS_NB[[#This Row],[Year]]=Closeout,DelayTot_27NB,DelayTot_27NB+(DelayTotChange_NB*(Table3D.1_DailyTTS_NB[[#This Row],[Year]]-2027)))</f>
        <v>599.25298240740744</v>
      </c>
      <c r="H22" s="166" cm="1">
        <f t="array" ref="H22">IF(Table3D.1_DailyTTS_NB[[#This Row],[Year]]=Closeout,AvgDelay_27NB,AvgDelay_27NB+(DelayChange_NB*(Table3D.1_DailyTTS_NB[[#This Row],[Year]]-2027)))</f>
        <v>9.0199084109865192E-3</v>
      </c>
    </row>
    <row r="23" spans="2:8">
      <c r="B23" s="123">
        <f>First_Year+'Appendix B. Project Info'!B33</f>
        <v>2036</v>
      </c>
      <c r="C23" s="173" cm="1">
        <f t="array" ref="C23">IF(Table3D.1_DailyTTS_NB[[#This Row],[Year]]=Closeout,Traffic_27NB,Traffic_27NB+(TrafChange_NB*(Table3D.1_DailyTTS_NB[[#This Row],[Year]]-2027)))</f>
        <v>60495.199999999997</v>
      </c>
      <c r="D23" s="165" cm="1">
        <f t="array" ref="D23">IF(Table3D.1_DailyTTS_NB[[#This Row],[Year]]=Closeout,VMT_27NB,VMT_27NB+(VMTChange_NB*(Table3D.1_DailyTTS_NB[[#This Row],[Year]]-2027)))</f>
        <v>47972.642</v>
      </c>
      <c r="E23" s="165" cm="1">
        <f t="array" ref="E23">IF(Table3D.1_DailyTTS_NB[[#This Row],[Year]]=Closeout,VHT_27NB,VHT_27NB+(VHTChange_NB*(Table3D.1_DailyTTS_NB[[#This Row],[Year]]-2027)))</f>
        <v>1885.308551666667</v>
      </c>
      <c r="F23" s="165" cm="1">
        <f t="array" ref="F23">IF(Table3D.1_DailyTTS_NB[[#This Row],[Year]]=Closeout,MPH_27NB,MPH_27NB+(MPHChange_NB*(Table3D.1_DailyTTS_NB[[#This Row],[Year]]-2027)))</f>
        <v>28.92873333333333</v>
      </c>
      <c r="G23" s="165" cm="1">
        <f t="array" ref="G23">IF(Table3D.1_DailyTTS_NB[[#This Row],[Year]]=Closeout,DelayTot_27NB,DelayTot_27NB+(DelayTotChange_NB*(Table3D.1_DailyTTS_NB[[#This Row],[Year]]-2027)))</f>
        <v>621.13702083333339</v>
      </c>
      <c r="H23" s="166" cm="1">
        <f t="array" ref="H23">IF(Table3D.1_DailyTTS_NB[[#This Row],[Year]]=Closeout,AvgDelay_27NB,AvgDelay_27NB+(DelayChange_NB*(Table3D.1_DailyTTS_NB[[#This Row],[Year]]-2027)))</f>
        <v>9.3689374112999897E-3</v>
      </c>
    </row>
    <row r="24" spans="2:8">
      <c r="B24" s="123">
        <f>First_Year+'Appendix B. Project Info'!B34</f>
        <v>2037</v>
      </c>
      <c r="C24" s="173" cm="1">
        <f t="array" ref="C24">IF(Table3D.1_DailyTTS_NB[[#This Row],[Year]]=Closeout,Traffic_27NB,Traffic_27NB+(TrafChange_NB*(Table3D.1_DailyTTS_NB[[#This Row],[Year]]-2027)))</f>
        <v>60633.333333333336</v>
      </c>
      <c r="D24" s="165" cm="1">
        <f t="array" ref="D24">IF(Table3D.1_DailyTTS_NB[[#This Row],[Year]]=Closeout,VMT_27NB,VMT_27NB+(VMTChange_NB*(Table3D.1_DailyTTS_NB[[#This Row],[Year]]-2027)))</f>
        <v>48061.976666666662</v>
      </c>
      <c r="E24" s="165" cm="1">
        <f t="array" ref="E24">IF(Table3D.1_DailyTTS_NB[[#This Row],[Year]]=Closeout,VHT_27NB,VHT_27NB+(VHTChange_NB*(Table3D.1_DailyTTS_NB[[#This Row],[Year]]-2027)))</f>
        <v>1909.5118259259261</v>
      </c>
      <c r="F24" s="165" cm="1">
        <f t="array" ref="F24">IF(Table3D.1_DailyTTS_NB[[#This Row],[Year]]=Closeout,MPH_27NB,MPH_27NB+(MPHChange_NB*(Table3D.1_DailyTTS_NB[[#This Row],[Year]]-2027)))</f>
        <v>28.789555555555552</v>
      </c>
      <c r="G24" s="165" cm="1">
        <f t="array" ref="G24">IF(Table3D.1_DailyTTS_NB[[#This Row],[Year]]=Closeout,DelayTot_27NB,DelayTot_27NB+(DelayTotChange_NB*(Table3D.1_DailyTTS_NB[[#This Row],[Year]]-2027)))</f>
        <v>643.02105925925935</v>
      </c>
      <c r="H24" s="166" cm="1">
        <f t="array" ref="H24">IF(Table3D.1_DailyTTS_NB[[#This Row],[Year]]=Closeout,AvgDelay_27NB,AvgDelay_27NB+(DelayChange_NB*(Table3D.1_DailyTTS_NB[[#This Row],[Year]]-2027)))</f>
        <v>9.7179664116134601E-3</v>
      </c>
    </row>
    <row r="25" spans="2:8">
      <c r="B25" s="123">
        <f>First_Year+'Appendix B. Project Info'!B35</f>
        <v>2038</v>
      </c>
      <c r="C25" s="173" cm="1">
        <f t="array" ref="C25">IF(Table3D.1_DailyTTS_NB[[#This Row],[Year]]=Closeout,Traffic_27NB,Traffic_27NB+(TrafChange_NB*(Table3D.1_DailyTTS_NB[[#This Row],[Year]]-2027)))</f>
        <v>60771.466666666667</v>
      </c>
      <c r="D25" s="165" cm="1">
        <f t="array" ref="D25">IF(Table3D.1_DailyTTS_NB[[#This Row],[Year]]=Closeout,VMT_27NB,VMT_27NB+(VMTChange_NB*(Table3D.1_DailyTTS_NB[[#This Row],[Year]]-2027)))</f>
        <v>48151.311333333331</v>
      </c>
      <c r="E25" s="165" cm="1">
        <f t="array" ref="E25">IF(Table3D.1_DailyTTS_NB[[#This Row],[Year]]=Closeout,VHT_27NB,VHT_27NB+(VHTChange_NB*(Table3D.1_DailyTTS_NB[[#This Row],[Year]]-2027)))</f>
        <v>1933.7151001851853</v>
      </c>
      <c r="F25" s="165" cm="1">
        <f t="array" ref="F25">IF(Table3D.1_DailyTTS_NB[[#This Row],[Year]]=Closeout,MPH_27NB,MPH_27NB+(MPHChange_NB*(Table3D.1_DailyTTS_NB[[#This Row],[Year]]-2027)))</f>
        <v>28.650377777777774</v>
      </c>
      <c r="G25" s="165" cm="1">
        <f t="array" ref="G25">IF(Table3D.1_DailyTTS_NB[[#This Row],[Year]]=Closeout,DelayTot_27NB,DelayTot_27NB+(DelayTotChange_NB*(Table3D.1_DailyTTS_NB[[#This Row],[Year]]-2027)))</f>
        <v>664.90509768518518</v>
      </c>
      <c r="H25" s="166" cm="1">
        <f t="array" ref="H25">IF(Table3D.1_DailyTTS_NB[[#This Row],[Year]]=Closeout,AvgDelay_27NB,AvgDelay_27NB+(DelayChange_NB*(Table3D.1_DailyTTS_NB[[#This Row],[Year]]-2027)))</f>
        <v>1.0066995411926932E-2</v>
      </c>
    </row>
    <row r="26" spans="2:8">
      <c r="B26" s="123">
        <f>First_Year+'Appendix B. Project Info'!B36</f>
        <v>2039</v>
      </c>
      <c r="C26" s="173" cm="1">
        <f t="array" ref="C26">IF(Table3D.1_DailyTTS_NB[[#This Row],[Year]]=Closeout,Traffic_27NB,Traffic_27NB+(TrafChange_NB*(Table3D.1_DailyTTS_NB[[#This Row],[Year]]-2027)))</f>
        <v>60909.599999999999</v>
      </c>
      <c r="D26" s="165" cm="1">
        <f t="array" ref="D26">IF(Table3D.1_DailyTTS_NB[[#This Row],[Year]]=Closeout,VMT_27NB,VMT_27NB+(VMTChange_NB*(Table3D.1_DailyTTS_NB[[#This Row],[Year]]-2027)))</f>
        <v>48240.646000000001</v>
      </c>
      <c r="E26" s="165" cm="1">
        <f t="array" ref="E26">IF(Table3D.1_DailyTTS_NB[[#This Row],[Year]]=Closeout,VHT_27NB,VHT_27NB+(VHTChange_NB*(Table3D.1_DailyTTS_NB[[#This Row],[Year]]-2027)))</f>
        <v>1957.9183744444447</v>
      </c>
      <c r="F26" s="165" cm="1">
        <f t="array" ref="F26">IF(Table3D.1_DailyTTS_NB[[#This Row],[Year]]=Closeout,MPH_27NB,MPH_27NB+(MPHChange_NB*(Table3D.1_DailyTTS_NB[[#This Row],[Year]]-2027)))</f>
        <v>28.511199999999999</v>
      </c>
      <c r="G26" s="165" cm="1">
        <f t="array" ref="G26">IF(Table3D.1_DailyTTS_NB[[#This Row],[Year]]=Closeout,DelayTot_27NB,DelayTot_27NB+(DelayTotChange_NB*(Table3D.1_DailyTTS_NB[[#This Row],[Year]]-2027)))</f>
        <v>686.78913611111125</v>
      </c>
      <c r="H26" s="166" cm="1">
        <f t="array" ref="H26">IF(Table3D.1_DailyTTS_NB[[#This Row],[Year]]=Closeout,AvgDelay_27NB,AvgDelay_27NB+(DelayChange_NB*(Table3D.1_DailyTTS_NB[[#This Row],[Year]]-2027)))</f>
        <v>1.0416024412240403E-2</v>
      </c>
    </row>
    <row r="27" spans="2:8">
      <c r="B27" s="123">
        <f>First_Year+'Appendix B. Project Info'!B37</f>
        <v>2040</v>
      </c>
      <c r="C27" s="173" cm="1">
        <f t="array" ref="C27">IF(Table3D.1_DailyTTS_NB[[#This Row],[Year]]=Closeout,Traffic_27NB,Traffic_27NB+(TrafChange_NB*(Table3D.1_DailyTTS_NB[[#This Row],[Year]]-2027)))</f>
        <v>61047.73333333333</v>
      </c>
      <c r="D27" s="165" cm="1">
        <f t="array" ref="D27">IF(Table3D.1_DailyTTS_NB[[#This Row],[Year]]=Closeout,VMT_27NB,VMT_27NB+(VMTChange_NB*(Table3D.1_DailyTTS_NB[[#This Row],[Year]]-2027)))</f>
        <v>48329.980666666663</v>
      </c>
      <c r="E27" s="165" cm="1">
        <f t="array" ref="E27">IF(Table3D.1_DailyTTS_NB[[#This Row],[Year]]=Closeout,VHT_27NB,VHT_27NB+(VHTChange_NB*(Table3D.1_DailyTTS_NB[[#This Row],[Year]]-2027)))</f>
        <v>1982.1216487037038</v>
      </c>
      <c r="F27" s="165" cm="1">
        <f t="array" ref="F27">IF(Table3D.1_DailyTTS_NB[[#This Row],[Year]]=Closeout,MPH_27NB,MPH_27NB+(MPHChange_NB*(Table3D.1_DailyTTS_NB[[#This Row],[Year]]-2027)))</f>
        <v>28.37202222222222</v>
      </c>
      <c r="G27" s="165" cm="1">
        <f t="array" ref="G27">IF(Table3D.1_DailyTTS_NB[[#This Row],[Year]]=Closeout,DelayTot_27NB,DelayTot_27NB+(DelayTotChange_NB*(Table3D.1_DailyTTS_NB[[#This Row],[Year]]-2027)))</f>
        <v>708.67317453703708</v>
      </c>
      <c r="H27" s="166" cm="1">
        <f t="array" ref="H27">IF(Table3D.1_DailyTTS_NB[[#This Row],[Year]]=Closeout,AvgDelay_27NB,AvgDelay_27NB+(DelayChange_NB*(Table3D.1_DailyTTS_NB[[#This Row],[Year]]-2027)))</f>
        <v>1.0765053412553873E-2</v>
      </c>
    </row>
    <row r="28" spans="2:8">
      <c r="B28" s="123">
        <f>First_Year+'Appendix B. Project Info'!B38</f>
        <v>2041</v>
      </c>
      <c r="C28" s="173" cm="1">
        <f t="array" ref="C28">IF(Table3D.1_DailyTTS_NB[[#This Row],[Year]]=Closeout,Traffic_27NB,Traffic_27NB+(TrafChange_NB*(Table3D.1_DailyTTS_NB[[#This Row],[Year]]-2027)))</f>
        <v>61185.866666666669</v>
      </c>
      <c r="D28" s="165" cm="1">
        <f t="array" ref="D28">IF(Table3D.1_DailyTTS_NB[[#This Row],[Year]]=Closeout,VMT_27NB,VMT_27NB+(VMTChange_NB*(Table3D.1_DailyTTS_NB[[#This Row],[Year]]-2027)))</f>
        <v>48419.315333333332</v>
      </c>
      <c r="E28" s="165" cm="1">
        <f t="array" ref="E28">IF(Table3D.1_DailyTTS_NB[[#This Row],[Year]]=Closeout,VHT_27NB,VHT_27NB+(VHTChange_NB*(Table3D.1_DailyTTS_NB[[#This Row],[Year]]-2027)))</f>
        <v>2006.3249229629632</v>
      </c>
      <c r="F28" s="165" cm="1">
        <f t="array" ref="F28">IF(Table3D.1_DailyTTS_NB[[#This Row],[Year]]=Closeout,MPH_27NB,MPH_27NB+(MPHChange_NB*(Table3D.1_DailyTTS_NB[[#This Row],[Year]]-2027)))</f>
        <v>28.232844444444442</v>
      </c>
      <c r="G28" s="165" cm="1">
        <f t="array" ref="G28">IF(Table3D.1_DailyTTS_NB[[#This Row],[Year]]=Closeout,DelayTot_27NB,DelayTot_27NB+(DelayTotChange_NB*(Table3D.1_DailyTTS_NB[[#This Row],[Year]]-2027)))</f>
        <v>730.55721296296304</v>
      </c>
      <c r="H28" s="166" cm="1">
        <f t="array" ref="H28">IF(Table3D.1_DailyTTS_NB[[#This Row],[Year]]=Closeout,AvgDelay_27NB,AvgDelay_27NB+(DelayChange_NB*(Table3D.1_DailyTTS_NB[[#This Row],[Year]]-2027)))</f>
        <v>1.1114082412867345E-2</v>
      </c>
    </row>
    <row r="29" spans="2:8">
      <c r="B29" s="123">
        <f>First_Year+'Appendix B. Project Info'!B39</f>
        <v>2042</v>
      </c>
      <c r="C29" s="173" cm="1">
        <f t="array" ref="C29">IF(Table3D.1_DailyTTS_NB[[#This Row],[Year]]=Closeout,Traffic_27NB,Traffic_27NB+(TrafChange_NB*(Table3D.1_DailyTTS_NB[[#This Row],[Year]]-2027)))</f>
        <v>61324</v>
      </c>
      <c r="D29" s="165" cm="1">
        <f t="array" ref="D29">IF(Table3D.1_DailyTTS_NB[[#This Row],[Year]]=Closeout,VMT_27NB,VMT_27NB+(VMTChange_NB*(Table3D.1_DailyTTS_NB[[#This Row],[Year]]-2027)))</f>
        <v>48508.649999999994</v>
      </c>
      <c r="E29" s="165" cm="1">
        <f t="array" ref="E29">IF(Table3D.1_DailyTTS_NB[[#This Row],[Year]]=Closeout,VHT_27NB,VHT_27NB+(VHTChange_NB*(Table3D.1_DailyTTS_NB[[#This Row],[Year]]-2027)))</f>
        <v>2030.5281972222224</v>
      </c>
      <c r="F29" s="165" cm="1">
        <f t="array" ref="F29">IF(Table3D.1_DailyTTS_NB[[#This Row],[Year]]=Closeout,MPH_27NB,MPH_27NB+(MPHChange_NB*(Table3D.1_DailyTTS_NB[[#This Row],[Year]]-2027)))</f>
        <v>28.093666666666664</v>
      </c>
      <c r="G29" s="165" cm="1">
        <f t="array" ref="G29">IF(Table3D.1_DailyTTS_NB[[#This Row],[Year]]=Closeout,DelayTot_27NB,DelayTot_27NB+(DelayTotChange_NB*(Table3D.1_DailyTTS_NB[[#This Row],[Year]]-2027)))</f>
        <v>752.44125138888899</v>
      </c>
      <c r="H29" s="166" cm="1">
        <f t="array" ref="H29">IF(Table3D.1_DailyTTS_NB[[#This Row],[Year]]=Closeout,AvgDelay_27NB,AvgDelay_27NB+(DelayChange_NB*(Table3D.1_DailyTTS_NB[[#This Row],[Year]]-2027)))</f>
        <v>1.1463111413180816E-2</v>
      </c>
    </row>
    <row r="30" spans="2:8">
      <c r="B30" s="123">
        <f>First_Year+'Appendix B. Project Info'!B40</f>
        <v>2043</v>
      </c>
      <c r="C30" s="173" cm="1">
        <f t="array" ref="C30">IF(Table3D.1_DailyTTS_NB[[#This Row],[Year]]=Closeout,Traffic_27NB,Traffic_27NB+(TrafChange_NB*(Table3D.1_DailyTTS_NB[[#This Row],[Year]]-2027)))</f>
        <v>61462.133333333331</v>
      </c>
      <c r="D30" s="165" cm="1">
        <f t="array" ref="D30">IF(Table3D.1_DailyTTS_NB[[#This Row],[Year]]=Closeout,VMT_27NB,VMT_27NB+(VMTChange_NB*(Table3D.1_DailyTTS_NB[[#This Row],[Year]]-2027)))</f>
        <v>48597.984666666664</v>
      </c>
      <c r="E30" s="165" cm="1">
        <f t="array" ref="E30">IF(Table3D.1_DailyTTS_NB[[#This Row],[Year]]=Closeout,VHT_27NB,VHT_27NB+(VHTChange_NB*(Table3D.1_DailyTTS_NB[[#This Row],[Year]]-2027)))</f>
        <v>2054.7314714814815</v>
      </c>
      <c r="F30" s="165" cm="1">
        <f t="array" ref="F30">IF(Table3D.1_DailyTTS_NB[[#This Row],[Year]]=Closeout,MPH_27NB,MPH_27NB+(MPHChange_NB*(Table3D.1_DailyTTS_NB[[#This Row],[Year]]-2027)))</f>
        <v>27.954488888888886</v>
      </c>
      <c r="G30" s="165" cm="1">
        <f t="array" ref="G30">IF(Table3D.1_DailyTTS_NB[[#This Row],[Year]]=Closeout,DelayTot_27NB,DelayTot_27NB+(DelayTotChange_NB*(Table3D.1_DailyTTS_NB[[#This Row],[Year]]-2027)))</f>
        <v>774.32528981481482</v>
      </c>
      <c r="H30" s="166" cm="1">
        <f t="array" ref="H30">IF(Table3D.1_DailyTTS_NB[[#This Row],[Year]]=Closeout,AvgDelay_27NB,AvgDelay_27NB+(DelayChange_NB*(Table3D.1_DailyTTS_NB[[#This Row],[Year]]-2027)))</f>
        <v>1.1812140413494286E-2</v>
      </c>
    </row>
    <row r="31" spans="2:8">
      <c r="B31" s="123">
        <f>First_Year+'Appendix B. Project Info'!B41</f>
        <v>2044</v>
      </c>
      <c r="C31" s="173" cm="1">
        <f t="array" ref="C31">IF(Table3D.1_DailyTTS_NB[[#This Row],[Year]]=Closeout,Traffic_27NB,Traffic_27NB+(TrafChange_NB*(Table3D.1_DailyTTS_NB[[#This Row],[Year]]-2027)))</f>
        <v>61600.266666666663</v>
      </c>
      <c r="D31" s="165" cm="1">
        <f t="array" ref="D31">IF(Table3D.1_DailyTTS_NB[[#This Row],[Year]]=Closeout,VMT_27NB,VMT_27NB+(VMTChange_NB*(Table3D.1_DailyTTS_NB[[#This Row],[Year]]-2027)))</f>
        <v>48687.319333333333</v>
      </c>
      <c r="E31" s="165" cm="1">
        <f t="array" ref="E31">IF(Table3D.1_DailyTTS_NB[[#This Row],[Year]]=Closeout,VHT_27NB,VHT_27NB+(VHTChange_NB*(Table3D.1_DailyTTS_NB[[#This Row],[Year]]-2027)))</f>
        <v>2078.9347457407412</v>
      </c>
      <c r="F31" s="165" cm="1">
        <f t="array" ref="F31">IF(Table3D.1_DailyTTS_NB[[#This Row],[Year]]=Closeout,MPH_27NB,MPH_27NB+(MPHChange_NB*(Table3D.1_DailyTTS_NB[[#This Row],[Year]]-2027)))</f>
        <v>27.815311111111107</v>
      </c>
      <c r="G31" s="165" cm="1">
        <f t="array" ref="G31">IF(Table3D.1_DailyTTS_NB[[#This Row],[Year]]=Closeout,DelayTot_27NB,DelayTot_27NB+(DelayTotChange_NB*(Table3D.1_DailyTTS_NB[[#This Row],[Year]]-2027)))</f>
        <v>796.20932824074089</v>
      </c>
      <c r="H31" s="166" cm="1">
        <f t="array" ref="H31">IF(Table3D.1_DailyTTS_NB[[#This Row],[Year]]=Closeout,AvgDelay_27NB,AvgDelay_27NB+(DelayChange_NB*(Table3D.1_DailyTTS_NB[[#This Row],[Year]]-2027)))</f>
        <v>1.2161169413807758E-2</v>
      </c>
    </row>
    <row r="32" spans="2:8">
      <c r="B32" s="123">
        <f>First_Year+'Appendix B. Project Info'!B42</f>
        <v>2045</v>
      </c>
      <c r="C32" s="173" cm="1">
        <f t="array" ref="C32">IF(Table3D.1_DailyTTS_NB[[#This Row],[Year]]=Closeout,Traffic_27NB,Traffic_27NB+(TrafChange_NB*(Table3D.1_DailyTTS_NB[[#This Row],[Year]]-2027)))</f>
        <v>61738.400000000001</v>
      </c>
      <c r="D32" s="165" cm="1">
        <f t="array" ref="D32">IF(Table3D.1_DailyTTS_NB[[#This Row],[Year]]=Closeout,VMT_27NB,VMT_27NB+(VMTChange_NB*(Table3D.1_DailyTTS_NB[[#This Row],[Year]]-2027)))</f>
        <v>48776.653999999995</v>
      </c>
      <c r="E32" s="165" cm="1">
        <f t="array" ref="E32">IF(Table3D.1_DailyTTS_NB[[#This Row],[Year]]=Closeout,VHT_27NB,VHT_27NB+(VHTChange_NB*(Table3D.1_DailyTTS_NB[[#This Row],[Year]]-2027)))</f>
        <v>2103.1380200000003</v>
      </c>
      <c r="F32" s="165" cm="1">
        <f t="array" ref="F32">IF(Table3D.1_DailyTTS_NB[[#This Row],[Year]]=Closeout,MPH_27NB,MPH_27NB+(MPHChange_NB*(Table3D.1_DailyTTS_NB[[#This Row],[Year]]-2027)))</f>
        <v>27.676133333333329</v>
      </c>
      <c r="G32" s="165" cm="1">
        <f t="array" ref="G32">IF(Table3D.1_DailyTTS_NB[[#This Row],[Year]]=Closeout,DelayTot_27NB,DelayTot_27NB+(DelayTotChange_NB*(Table3D.1_DailyTTS_NB[[#This Row],[Year]]-2027)))</f>
        <v>818.09336666666672</v>
      </c>
      <c r="H32" s="166" cm="1">
        <f t="array" ref="H32">IF(Table3D.1_DailyTTS_NB[[#This Row],[Year]]=Closeout,AvgDelay_27NB,AvgDelay_27NB+(DelayChange_NB*(Table3D.1_DailyTTS_NB[[#This Row],[Year]]-2027)))</f>
        <v>1.2510198414121231E-2</v>
      </c>
    </row>
    <row r="33" spans="2:8">
      <c r="B33" s="123">
        <f>First_Year+'Appendix B. Project Info'!B43</f>
        <v>2046</v>
      </c>
      <c r="C33" s="173" cm="1">
        <f t="array" ref="C33">IF(Table3D.1_DailyTTS_NB[[#This Row],[Year]]=Closeout,Traffic_27NB,Traffic_27NB+(TrafChange_NB*(Table3D.1_DailyTTS_NB[[#This Row],[Year]]-2027)))</f>
        <v>61876.533333333333</v>
      </c>
      <c r="D33" s="165" cm="1">
        <f t="array" ref="D33">IF(Table3D.1_DailyTTS_NB[[#This Row],[Year]]=Closeout,VMT_27NB,VMT_27NB+(VMTChange_NB*(Table3D.1_DailyTTS_NB[[#This Row],[Year]]-2027)))</f>
        <v>48865.988666666664</v>
      </c>
      <c r="E33" s="165" cm="1">
        <f t="array" ref="E33">IF(Table3D.1_DailyTTS_NB[[#This Row],[Year]]=Closeout,VHT_27NB,VHT_27NB+(VHTChange_NB*(Table3D.1_DailyTTS_NB[[#This Row],[Year]]-2027)))</f>
        <v>2127.3412942592595</v>
      </c>
      <c r="F33" s="165" cm="1">
        <f t="array" ref="F33">IF(Table3D.1_DailyTTS_NB[[#This Row],[Year]]=Closeout,MPH_27NB,MPH_27NB+(MPHChange_NB*(Table3D.1_DailyTTS_NB[[#This Row],[Year]]-2027)))</f>
        <v>27.536955555555551</v>
      </c>
      <c r="G33" s="165" cm="1">
        <f t="array" ref="G33">IF(Table3D.1_DailyTTS_NB[[#This Row],[Year]]=Closeout,DelayTot_27NB,DelayTot_27NB+(DelayTotChange_NB*(Table3D.1_DailyTTS_NB[[#This Row],[Year]]-2027)))</f>
        <v>839.97740509259268</v>
      </c>
      <c r="H33" s="166" cm="1">
        <f t="array" ref="H33">IF(Table3D.1_DailyTTS_NB[[#This Row],[Year]]=Closeout,AvgDelay_27NB,AvgDelay_27NB+(DelayChange_NB*(Table3D.1_DailyTTS_NB[[#This Row],[Year]]-2027)))</f>
        <v>1.2859227414434699E-2</v>
      </c>
    </row>
    <row r="34" spans="2:8">
      <c r="B34" s="123">
        <f>First_Year+'Appendix B. Project Info'!B44</f>
        <v>2047</v>
      </c>
      <c r="C34" s="173" cm="1">
        <f t="array" ref="C34">IF(Table3D.1_DailyTTS_NB[[#This Row],[Year]]=Closeout,Traffic_27NB,Traffic_27NB+(TrafChange_NB*(Table3D.1_DailyTTS_NB[[#This Row],[Year]]-2027)))</f>
        <v>62014.666666666664</v>
      </c>
      <c r="D34" s="165" cm="1">
        <f t="array" ref="D34">IF(Table3D.1_DailyTTS_NB[[#This Row],[Year]]=Closeout,VMT_27NB,VMT_27NB+(VMTChange_NB*(Table3D.1_DailyTTS_NB[[#This Row],[Year]]-2027)))</f>
        <v>48955.323333333334</v>
      </c>
      <c r="E34" s="165" cm="1">
        <f t="array" ref="E34">IF(Table3D.1_DailyTTS_NB[[#This Row],[Year]]=Closeout,VHT_27NB,VHT_27NB+(VHTChange_NB*(Table3D.1_DailyTTS_NB[[#This Row],[Year]]-2027)))</f>
        <v>2151.5445685185186</v>
      </c>
      <c r="F34" s="165" cm="1">
        <f t="array" ref="F34">IF(Table3D.1_DailyTTS_NB[[#This Row],[Year]]=Closeout,MPH_27NB,MPH_27NB+(MPHChange_NB*(Table3D.1_DailyTTS_NB[[#This Row],[Year]]-2027)))</f>
        <v>27.397777777777776</v>
      </c>
      <c r="G34" s="165" cm="1">
        <f t="array" ref="G34">IF(Table3D.1_DailyTTS_NB[[#This Row],[Year]]=Closeout,DelayTot_27NB,DelayTot_27NB+(DelayTotChange_NB*(Table3D.1_DailyTTS_NB[[#This Row],[Year]]-2027)))</f>
        <v>861.86144351851863</v>
      </c>
      <c r="H34" s="166" cm="1">
        <f t="array" ref="H34">IF(Table3D.1_DailyTTS_NB[[#This Row],[Year]]=Closeout,AvgDelay_27NB,AvgDelay_27NB+(DelayChange_NB*(Table3D.1_DailyTTS_NB[[#This Row],[Year]]-2027)))</f>
        <v>1.3208256414748171E-2</v>
      </c>
    </row>
    <row r="35" spans="2:8">
      <c r="B35" s="123">
        <f>First_Year+'Appendix B. Project Info'!B45</f>
        <v>2048</v>
      </c>
      <c r="C35" s="173" cm="1">
        <f t="array" ref="C35">IF(Table3D.1_DailyTTS_NB[[#This Row],[Year]]=Closeout,Traffic_27NB,Traffic_27NB+(TrafChange_NB*(Table3D.1_DailyTTS_NB[[#This Row],[Year]]-2027)))</f>
        <v>62152.800000000003</v>
      </c>
      <c r="D35" s="165" cm="1">
        <f t="array" ref="D35">IF(Table3D.1_DailyTTS_NB[[#This Row],[Year]]=Closeout,VMT_27NB,VMT_27NB+(VMTChange_NB*(Table3D.1_DailyTTS_NB[[#This Row],[Year]]-2027)))</f>
        <v>49044.657999999996</v>
      </c>
      <c r="E35" s="165" cm="1">
        <f t="array" ref="E35">IF(Table3D.1_DailyTTS_NB[[#This Row],[Year]]=Closeout,VHT_27NB,VHT_27NB+(VHTChange_NB*(Table3D.1_DailyTTS_NB[[#This Row],[Year]]-2027)))</f>
        <v>2175.7478427777778</v>
      </c>
      <c r="F35" s="165" cm="1">
        <f t="array" ref="F35">IF(Table3D.1_DailyTTS_NB[[#This Row],[Year]]=Closeout,MPH_27NB,MPH_27NB+(MPHChange_NB*(Table3D.1_DailyTTS_NB[[#This Row],[Year]]-2027)))</f>
        <v>27.258599999999998</v>
      </c>
      <c r="G35" s="165" cm="1">
        <f t="array" ref="G35">IF(Table3D.1_DailyTTS_NB[[#This Row],[Year]]=Closeout,DelayTot_27NB,DelayTot_27NB+(DelayTotChange_NB*(Table3D.1_DailyTTS_NB[[#This Row],[Year]]-2027)))</f>
        <v>883.74548194444446</v>
      </c>
      <c r="H35" s="166" cm="1">
        <f t="array" ref="H35">IF(Table3D.1_DailyTTS_NB[[#This Row],[Year]]=Closeout,AvgDelay_27NB,AvgDelay_27NB+(DelayChange_NB*(Table3D.1_DailyTTS_NB[[#This Row],[Year]]-2027)))</f>
        <v>1.3557285415061644E-2</v>
      </c>
    </row>
    <row r="36" spans="2:8">
      <c r="B36" s="123">
        <f>First_Year+'Appendix B. Project Info'!B46</f>
        <v>2049</v>
      </c>
      <c r="C36" s="173" cm="1">
        <f t="array" ref="C36">IF(Table3D.1_DailyTTS_NB[[#This Row],[Year]]=Closeout,Traffic_27NB,Traffic_27NB+(TrafChange_NB*(Table3D.1_DailyTTS_NB[[#This Row],[Year]]-2027)))</f>
        <v>62290.933333333334</v>
      </c>
      <c r="D36" s="165" cm="1">
        <f t="array" ref="D36">IF(Table3D.1_DailyTTS_NB[[#This Row],[Year]]=Closeout,VMT_27NB,VMT_27NB+(VMTChange_NB*(Table3D.1_DailyTTS_NB[[#This Row],[Year]]-2027)))</f>
        <v>49133.992666666665</v>
      </c>
      <c r="E36" s="165" cm="1">
        <f t="array" ref="E36">IF(Table3D.1_DailyTTS_NB[[#This Row],[Year]]=Closeout,VHT_27NB,VHT_27NB+(VHTChange_NB*(Table3D.1_DailyTTS_NB[[#This Row],[Year]]-2027)))</f>
        <v>2199.951117037037</v>
      </c>
      <c r="F36" s="165" cm="1">
        <f t="array" ref="F36">IF(Table3D.1_DailyTTS_NB[[#This Row],[Year]]=Closeout,MPH_27NB,MPH_27NB+(MPHChange_NB*(Table3D.1_DailyTTS_NB[[#This Row],[Year]]-2027)))</f>
        <v>27.119422222222219</v>
      </c>
      <c r="G36" s="165" cm="1">
        <f t="array" ref="G36">IF(Table3D.1_DailyTTS_NB[[#This Row],[Year]]=Closeout,DelayTot_27NB,DelayTot_27NB+(DelayTotChange_NB*(Table3D.1_DailyTTS_NB[[#This Row],[Year]]-2027)))</f>
        <v>905.62952037037053</v>
      </c>
      <c r="H36" s="166" cm="1">
        <f t="array" ref="H36">IF(Table3D.1_DailyTTS_NB[[#This Row],[Year]]=Closeout,AvgDelay_27NB,AvgDelay_27NB+(DelayChange_NB*(Table3D.1_DailyTTS_NB[[#This Row],[Year]]-2027)))</f>
        <v>1.3906314415375112E-2</v>
      </c>
    </row>
    <row r="37" spans="2:8">
      <c r="B37" s="123">
        <f>First_Year+'Appendix B. Project Info'!B47</f>
        <v>2050</v>
      </c>
      <c r="C37" s="173" cm="1">
        <f t="array" ref="C37">IF(Table3D.1_DailyTTS_NB[[#This Row],[Year]]=Closeout,Traffic_27NB,Traffic_27NB+(TrafChange_NB*(Table3D.1_DailyTTS_NB[[#This Row],[Year]]-2027)))</f>
        <v>62429.066666666666</v>
      </c>
      <c r="D37" s="165" cm="1">
        <f t="array" ref="D37">IF(Table3D.1_DailyTTS_NB[[#This Row],[Year]]=Closeout,VMT_27NB,VMT_27NB+(VMTChange_NB*(Table3D.1_DailyTTS_NB[[#This Row],[Year]]-2027)))</f>
        <v>49223.327333333335</v>
      </c>
      <c r="E37" s="165" cm="1">
        <f t="array" ref="E37">IF(Table3D.1_DailyTTS_NB[[#This Row],[Year]]=Closeout,VHT_27NB,VHT_27NB+(VHTChange_NB*(Table3D.1_DailyTTS_NB[[#This Row],[Year]]-2027)))</f>
        <v>2224.1543912962966</v>
      </c>
      <c r="F37" s="165" cm="1">
        <f t="array" ref="F37">IF(Table3D.1_DailyTTS_NB[[#This Row],[Year]]=Closeout,MPH_27NB,MPH_27NB+(MPHChange_NB*(Table3D.1_DailyTTS_NB[[#This Row],[Year]]-2027)))</f>
        <v>26.980244444444441</v>
      </c>
      <c r="G37" s="165" cm="1">
        <f t="array" ref="G37">IF(Table3D.1_DailyTTS_NB[[#This Row],[Year]]=Closeout,DelayTot_27NB,DelayTot_27NB+(DelayTotChange_NB*(Table3D.1_DailyTTS_NB[[#This Row],[Year]]-2027)))</f>
        <v>927.51355879629637</v>
      </c>
      <c r="H37" s="166" cm="1">
        <f t="array" ref="H37">IF(Table3D.1_DailyTTS_NB[[#This Row],[Year]]=Closeout,AvgDelay_27NB,AvgDelay_27NB+(DelayChange_NB*(Table3D.1_DailyTTS_NB[[#This Row],[Year]]-2027)))</f>
        <v>1.4255343415688584E-2</v>
      </c>
    </row>
    <row r="38" spans="2:8">
      <c r="B38" s="123">
        <f>First_Year+'Appendix B. Project Info'!B48</f>
        <v>2051</v>
      </c>
      <c r="C38" s="173" cm="1">
        <f t="array" ref="C38">IF(Table3D.1_DailyTTS_NB[[#This Row],[Year]]=Closeout,Traffic_27NB,Traffic_27NB+(TrafChange_NB*(Table3D.1_DailyTTS_NB[[#This Row],[Year]]-2027)))</f>
        <v>62567.199999999997</v>
      </c>
      <c r="D38" s="165" cm="1">
        <f t="array" ref="D38">IF(Table3D.1_DailyTTS_NB[[#This Row],[Year]]=Closeout,VMT_27NB,VMT_27NB+(VMTChange_NB*(Table3D.1_DailyTTS_NB[[#This Row],[Year]]-2027)))</f>
        <v>49312.661999999997</v>
      </c>
      <c r="E38" s="165" cm="1">
        <f t="array" ref="E38">IF(Table3D.1_DailyTTS_NB[[#This Row],[Year]]=Closeout,VHT_27NB,VHT_27NB+(VHTChange_NB*(Table3D.1_DailyTTS_NB[[#This Row],[Year]]-2027)))</f>
        <v>2248.3576655555557</v>
      </c>
      <c r="F38" s="165" cm="1">
        <f t="array" ref="F38">IF(Table3D.1_DailyTTS_NB[[#This Row],[Year]]=Closeout,MPH_27NB,MPH_27NB+(MPHChange_NB*(Table3D.1_DailyTTS_NB[[#This Row],[Year]]-2027)))</f>
        <v>26.841066666666663</v>
      </c>
      <c r="G38" s="165" cm="1">
        <f t="array" ref="G38">IF(Table3D.1_DailyTTS_NB[[#This Row],[Year]]=Closeout,DelayTot_27NB,DelayTot_27NB+(DelayTotChange_NB*(Table3D.1_DailyTTS_NB[[#This Row],[Year]]-2027)))</f>
        <v>949.39759722222243</v>
      </c>
      <c r="H38" s="166" cm="1">
        <f t="array" ref="H38">IF(Table3D.1_DailyTTS_NB[[#This Row],[Year]]=Closeout,AvgDelay_27NB,AvgDelay_27NB+(DelayChange_NB*(Table3D.1_DailyTTS_NB[[#This Row],[Year]]-2027)))</f>
        <v>1.4604372416002057E-2</v>
      </c>
    </row>
    <row r="39" spans="2:8">
      <c r="B39" s="123">
        <f>First_Year+'Appendix B. Project Info'!B49</f>
        <v>2052</v>
      </c>
      <c r="C39" s="173" cm="1">
        <f t="array" ref="C39">IF(Table3D.1_DailyTTS_NB[[#This Row],[Year]]=Closeout,Traffic_27NB,Traffic_27NB+(TrafChange_NB*(Table3D.1_DailyTTS_NB[[#This Row],[Year]]-2027)))</f>
        <v>62705.333333333336</v>
      </c>
      <c r="D39" s="165" cm="1">
        <f t="array" ref="D39">IF(Table3D.1_DailyTTS_NB[[#This Row],[Year]]=Closeout,VMT_27NB,VMT_27NB+(VMTChange_NB*(Table3D.1_DailyTTS_NB[[#This Row],[Year]]-2027)))</f>
        <v>49401.996666666666</v>
      </c>
      <c r="E39" s="165" cm="1">
        <f t="array" ref="E39">IF(Table3D.1_DailyTTS_NB[[#This Row],[Year]]=Closeout,VHT_27NB,VHT_27NB+(VHTChange_NB*(Table3D.1_DailyTTS_NB[[#This Row],[Year]]-2027)))</f>
        <v>2272.5609398148149</v>
      </c>
      <c r="F39" s="165" cm="1">
        <f t="array" ref="F39">IF(Table3D.1_DailyTTS_NB[[#This Row],[Year]]=Closeout,MPH_27NB,MPH_27NB+(MPHChange_NB*(Table3D.1_DailyTTS_NB[[#This Row],[Year]]-2027)))</f>
        <v>26.701888888888885</v>
      </c>
      <c r="G39" s="165" cm="1">
        <f t="array" ref="G39">IF(Table3D.1_DailyTTS_NB[[#This Row],[Year]]=Closeout,DelayTot_27NB,DelayTot_27NB+(DelayTotChange_NB*(Table3D.1_DailyTTS_NB[[#This Row],[Year]]-2027)))</f>
        <v>971.28163564814827</v>
      </c>
      <c r="H39" s="166" cm="1">
        <f t="array" ref="H39">IF(Table3D.1_DailyTTS_NB[[#This Row],[Year]]=Closeout,AvgDelay_27NB,AvgDelay_27NB+(DelayChange_NB*(Table3D.1_DailyTTS_NB[[#This Row],[Year]]-2027)))</f>
        <v>1.4953401416315525E-2</v>
      </c>
    </row>
    <row r="40" spans="2:8">
      <c r="B40" s="123">
        <f>First_Year+'Appendix B. Project Info'!B50</f>
        <v>2053</v>
      </c>
      <c r="C40" s="173" cm="1">
        <f t="array" ref="C40">IF(Table3D.1_DailyTTS_NB[[#This Row],[Year]]=Closeout,Traffic_27NB,Traffic_27NB+(TrafChange_NB*(Table3D.1_DailyTTS_NB[[#This Row],[Year]]-2027)))</f>
        <v>62843.466666666667</v>
      </c>
      <c r="D40" s="165" cm="1">
        <f t="array" ref="D40">IF(Table3D.1_DailyTTS_NB[[#This Row],[Year]]=Closeout,VMT_27NB,VMT_27NB+(VMTChange_NB*(Table3D.1_DailyTTS_NB[[#This Row],[Year]]-2027)))</f>
        <v>49491.331333333328</v>
      </c>
      <c r="E40" s="165" cm="1">
        <f t="array" ref="E40">IF(Table3D.1_DailyTTS_NB[[#This Row],[Year]]=Closeout,VHT_27NB,VHT_27NB+(VHTChange_NB*(Table3D.1_DailyTTS_NB[[#This Row],[Year]]-2027)))</f>
        <v>2296.7642140740741</v>
      </c>
      <c r="F40" s="165" cm="1">
        <f t="array" ref="F40">IF(Table3D.1_DailyTTS_NB[[#This Row],[Year]]=Closeout,MPH_27NB,MPH_27NB+(MPHChange_NB*(Table3D.1_DailyTTS_NB[[#This Row],[Year]]-2027)))</f>
        <v>26.562711111111106</v>
      </c>
      <c r="G40" s="165" cm="1">
        <f t="array" ref="G40">IF(Table3D.1_DailyTTS_NB[[#This Row],[Year]]=Closeout,DelayTot_27NB,DelayTot_27NB+(DelayTotChange_NB*(Table3D.1_DailyTTS_NB[[#This Row],[Year]]-2027)))</f>
        <v>993.1656740740741</v>
      </c>
      <c r="H40" s="166" cm="1">
        <f t="array" ref="H40">IF(Table3D.1_DailyTTS_NB[[#This Row],[Year]]=Closeout,AvgDelay_27NB,AvgDelay_27NB+(DelayChange_NB*(Table3D.1_DailyTTS_NB[[#This Row],[Year]]-2027)))</f>
        <v>1.5302430416628997E-2</v>
      </c>
    </row>
    <row r="41" spans="2:8">
      <c r="B41" s="123">
        <f>First_Year+'Appendix B. Project Info'!B51</f>
        <v>2054</v>
      </c>
      <c r="C41" s="173" cm="1">
        <f t="array" ref="C41">IF(Table3D.1_DailyTTS_NB[[#This Row],[Year]]=Closeout,Traffic_27NB,Traffic_27NB+(TrafChange_NB*(Table3D.1_DailyTTS_NB[[#This Row],[Year]]-2027)))</f>
        <v>62981.599999999999</v>
      </c>
      <c r="D41" s="165" cm="1">
        <f t="array" ref="D41">IF(Table3D.1_DailyTTS_NB[[#This Row],[Year]]=Closeout,VMT_27NB,VMT_27NB+(VMTChange_NB*(Table3D.1_DailyTTS_NB[[#This Row],[Year]]-2027)))</f>
        <v>49580.665999999997</v>
      </c>
      <c r="E41" s="165" cm="1">
        <f t="array" ref="E41">IF(Table3D.1_DailyTTS_NB[[#This Row],[Year]]=Closeout,VHT_27NB,VHT_27NB+(VHTChange_NB*(Table3D.1_DailyTTS_NB[[#This Row],[Year]]-2027)))</f>
        <v>2320.9674883333337</v>
      </c>
      <c r="F41" s="165" cm="1">
        <f t="array" ref="F41">IF(Table3D.1_DailyTTS_NB[[#This Row],[Year]]=Closeout,MPH_27NB,MPH_27NB+(MPHChange_NB*(Table3D.1_DailyTTS_NB[[#This Row],[Year]]-2027)))</f>
        <v>26.423533333333332</v>
      </c>
      <c r="G41" s="165" cm="1">
        <f t="array" ref="G41">IF(Table3D.1_DailyTTS_NB[[#This Row],[Year]]=Closeout,DelayTot_27NB,DelayTot_27NB+(DelayTotChange_NB*(Table3D.1_DailyTTS_NB[[#This Row],[Year]]-2027)))</f>
        <v>1015.0497125000002</v>
      </c>
      <c r="H41" s="166" cm="1">
        <f t="array" ref="H41">IF(Table3D.1_DailyTTS_NB[[#This Row],[Year]]=Closeout,AvgDelay_27NB,AvgDelay_27NB+(DelayChange_NB*(Table3D.1_DailyTTS_NB[[#This Row],[Year]]-2027)))</f>
        <v>1.565145941694247E-2</v>
      </c>
    </row>
    <row r="42" spans="2:8">
      <c r="B42" s="123">
        <f>First_Year+'Appendix B. Project Info'!B52</f>
        <v>2055</v>
      </c>
      <c r="C42" s="173" cm="1">
        <f t="array" ref="C42">IF(Table3D.1_DailyTTS_NB[[#This Row],[Year]]=Closeout,Traffic_27NB,Traffic_27NB+(TrafChange_NB*(Table3D.1_DailyTTS_NB[[#This Row],[Year]]-2027)))</f>
        <v>63119.73333333333</v>
      </c>
      <c r="D42" s="165" cm="1">
        <f t="array" ref="D42">IF(Table3D.1_DailyTTS_NB[[#This Row],[Year]]=Closeout,VMT_27NB,VMT_27NB+(VMTChange_NB*(Table3D.1_DailyTTS_NB[[#This Row],[Year]]-2027)))</f>
        <v>49670.000666666667</v>
      </c>
      <c r="E42" s="165" cm="1">
        <f t="array" ref="E42">IF(Table3D.1_DailyTTS_NB[[#This Row],[Year]]=Closeout,VHT_27NB,VHT_27NB+(VHTChange_NB*(Table3D.1_DailyTTS_NB[[#This Row],[Year]]-2027)))</f>
        <v>2345.1707625925928</v>
      </c>
      <c r="F42" s="165" cm="1">
        <f t="array" ref="F42">IF(Table3D.1_DailyTTS_NB[[#This Row],[Year]]=Closeout,MPH_27NB,MPH_27NB+(MPHChange_NB*(Table3D.1_DailyTTS_NB[[#This Row],[Year]]-2027)))</f>
        <v>26.284355555555553</v>
      </c>
      <c r="G42" s="165" cm="1">
        <f t="array" ref="G42">IF(Table3D.1_DailyTTS_NB[[#This Row],[Year]]=Closeout,DelayTot_27NB,DelayTot_27NB+(DelayTotChange_NB*(Table3D.1_DailyTTS_NB[[#This Row],[Year]]-2027)))</f>
        <v>1036.933750925926</v>
      </c>
      <c r="H42" s="166" cm="1">
        <f t="array" ref="H42">IF(Table3D.1_DailyTTS_NB[[#This Row],[Year]]=Closeout,AvgDelay_27NB,AvgDelay_27NB+(DelayChange_NB*(Table3D.1_DailyTTS_NB[[#This Row],[Year]]-2027)))</f>
        <v>1.6000488417255938E-2</v>
      </c>
    </row>
    <row r="43" spans="2:8">
      <c r="B43" s="123">
        <f>First_Year+'Appendix B. Project Info'!B53</f>
        <v>2056</v>
      </c>
      <c r="C43" s="173" cm="1">
        <f t="array" ref="C43">IF(Table3D.1_DailyTTS_NB[[#This Row],[Year]]=Closeout,Traffic_27NB,Traffic_27NB+(TrafChange_NB*(Table3D.1_DailyTTS_NB[[#This Row],[Year]]-2027)))</f>
        <v>63257.866666666669</v>
      </c>
      <c r="D43" s="165" cm="1">
        <f t="array" ref="D43">IF(Table3D.1_DailyTTS_NB[[#This Row],[Year]]=Closeout,VMT_27NB,VMT_27NB+(VMTChange_NB*(Table3D.1_DailyTTS_NB[[#This Row],[Year]]-2027)))</f>
        <v>49759.335333333329</v>
      </c>
      <c r="E43" s="165" cm="1">
        <f t="array" ref="E43">IF(Table3D.1_DailyTTS_NB[[#This Row],[Year]]=Closeout,VHT_27NB,VHT_27NB+(VHTChange_NB*(Table3D.1_DailyTTS_NB[[#This Row],[Year]]-2027)))</f>
        <v>2369.374036851852</v>
      </c>
      <c r="F43" s="165" cm="1">
        <f t="array" ref="F43">IF(Table3D.1_DailyTTS_NB[[#This Row],[Year]]=Closeout,MPH_27NB,MPH_27NB+(MPHChange_NB*(Table3D.1_DailyTTS_NB[[#This Row],[Year]]-2027)))</f>
        <v>26.145177777777775</v>
      </c>
      <c r="G43" s="165" cm="1">
        <f t="array" ref="G43">IF(Table3D.1_DailyTTS_NB[[#This Row],[Year]]=Closeout,DelayTot_27NB,DelayTot_27NB+(DelayTotChange_NB*(Table3D.1_DailyTTS_NB[[#This Row],[Year]]-2027)))</f>
        <v>1058.8177893518521</v>
      </c>
      <c r="H43" s="166" cm="1">
        <f t="array" ref="H43">IF(Table3D.1_DailyTTS_NB[[#This Row],[Year]]=Closeout,AvgDelay_27NB,AvgDelay_27NB+(DelayChange_NB*(Table3D.1_DailyTTS_NB[[#This Row],[Year]]-2027)))</f>
        <v>1.6349517417569411E-2</v>
      </c>
    </row>
    <row r="44" spans="2:8">
      <c r="B44" s="123">
        <f>First_Year+'Appendix B. Project Info'!B54</f>
        <v>2057</v>
      </c>
      <c r="C44" s="173" cm="1">
        <f t="array" ref="C44">IF(Table3D.1_DailyTTS_NB[[#This Row],[Year]]=Closeout,Traffic_27NB,Traffic_27NB+(TrafChange_NB*(Table3D.1_DailyTTS_NB[[#This Row],[Year]]-2027)))</f>
        <v>63396</v>
      </c>
      <c r="D44" s="165" cm="1">
        <f t="array" ref="D44">IF(Table3D.1_DailyTTS_NB[[#This Row],[Year]]=Closeout,VMT_27NB,VMT_27NB+(VMTChange_NB*(Table3D.1_DailyTTS_NB[[#This Row],[Year]]-2027)))</f>
        <v>49848.67</v>
      </c>
      <c r="E44" s="165" cm="1">
        <f t="array" ref="E44">IF(Table3D.1_DailyTTS_NB[[#This Row],[Year]]=Closeout,VHT_27NB,VHT_27NB+(VHTChange_NB*(Table3D.1_DailyTTS_NB[[#This Row],[Year]]-2027)))</f>
        <v>2393.5773111111112</v>
      </c>
      <c r="F44" s="165" cm="1">
        <f t="array" ref="F44">IF(Table3D.1_DailyTTS_NB[[#This Row],[Year]]=Closeout,MPH_27NB,MPH_27NB+(MPHChange_NB*(Table3D.1_DailyTTS_NB[[#This Row],[Year]]-2027)))</f>
        <v>26.005999999999997</v>
      </c>
      <c r="G44" s="165" cm="1">
        <f t="array" ref="G44">IF(Table3D.1_DailyTTS_NB[[#This Row],[Year]]=Closeout,DelayTot_27NB,DelayTot_27NB+(DelayTotChange_NB*(Table3D.1_DailyTTS_NB[[#This Row],[Year]]-2027)))</f>
        <v>1080.7018277777779</v>
      </c>
      <c r="H44" s="166" cm="1">
        <f t="array" ref="H44">IF(Table3D.1_DailyTTS_NB[[#This Row],[Year]]=Closeout,AvgDelay_27NB,AvgDelay_27NB+(DelayChange_NB*(Table3D.1_DailyTTS_NB[[#This Row],[Year]]-2027)))</f>
        <v>1.6698546417882883E-2</v>
      </c>
    </row>
    <row r="45" spans="2:8">
      <c r="B45" s="123">
        <f>First_Year+'Appendix B. Project Info'!B55</f>
        <v>2058</v>
      </c>
      <c r="C45" s="173" cm="1">
        <f t="array" ref="C45">IF(Table3D.1_DailyTTS_NB[[#This Row],[Year]]=Closeout,Traffic_27NB,Traffic_27NB+(TrafChange_NB*(Table3D.1_DailyTTS_NB[[#This Row],[Year]]-2027)))</f>
        <v>63534.133333333331</v>
      </c>
      <c r="D45" s="165" cm="1">
        <f t="array" ref="D45">IF(Table3D.1_DailyTTS_NB[[#This Row],[Year]]=Closeout,VMT_27NB,VMT_27NB+(VMTChange_NB*(Table3D.1_DailyTTS_NB[[#This Row],[Year]]-2027)))</f>
        <v>49938.004666666668</v>
      </c>
      <c r="E45" s="165" cm="1">
        <f t="array" ref="E45">IF(Table3D.1_DailyTTS_NB[[#This Row],[Year]]=Closeout,VHT_27NB,VHT_27NB+(VHTChange_NB*(Table3D.1_DailyTTS_NB[[#This Row],[Year]]-2027)))</f>
        <v>2417.7805853703703</v>
      </c>
      <c r="F45" s="165" cm="1">
        <f t="array" ref="F45">IF(Table3D.1_DailyTTS_NB[[#This Row],[Year]]=Closeout,MPH_27NB,MPH_27NB+(MPHChange_NB*(Table3D.1_DailyTTS_NB[[#This Row],[Year]]-2027)))</f>
        <v>25.866822222222218</v>
      </c>
      <c r="G45" s="165" cm="1">
        <f t="array" ref="G45">IF(Table3D.1_DailyTTS_NB[[#This Row],[Year]]=Closeout,DelayTot_27NB,DelayTot_27NB+(DelayTotChange_NB*(Table3D.1_DailyTTS_NB[[#This Row],[Year]]-2027)))</f>
        <v>1102.5858662037037</v>
      </c>
      <c r="H45" s="166" cm="1">
        <f t="array" ref="H45">IF(Table3D.1_DailyTTS_NB[[#This Row],[Year]]=Closeout,AvgDelay_27NB,AvgDelay_27NB+(DelayChange_NB*(Table3D.1_DailyTTS_NB[[#This Row],[Year]]-2027)))</f>
        <v>1.7047575418196355E-2</v>
      </c>
    </row>
    <row r="46" spans="2:8">
      <c r="B46" s="81" t="s">
        <v>127</v>
      </c>
      <c r="C46" s="175">
        <f>SUBTOTAL(101,Table3D.1_DailyTTS_NB[Total Traffic in Network (Veh/Day)])</f>
        <v>61112.962962962956</v>
      </c>
      <c r="D46" s="154">
        <f>SUBTOTAL(101,Table3D.1_DailyTTS_NB[Vehicle Miles Traveled (VMT/Day)])</f>
        <v>48372.166481481487</v>
      </c>
      <c r="E46" s="154">
        <f>SUBTOTAL(101,Table3D.1_DailyTTS_NB[Vehicle Hours Traveled (VHT/Day)])</f>
        <v>1993.5509726594655</v>
      </c>
      <c r="F46" s="154">
        <f>SUBTOTAL(101,Table3D.1_DailyTTS_NB[Average Speed (MPH)])</f>
        <v>28.306299382716052</v>
      </c>
      <c r="G46" s="154">
        <f>SUBTOTAL(101,Table3D.1_DailyTTS_NB[Total Delay (hrs/day)])</f>
        <v>719.00730379372442</v>
      </c>
      <c r="H46" s="174">
        <f>SUBTOTAL(101,Table3D.1_DailyTTS_NB[Average Delay (Hrs/Veh/Day)])</f>
        <v>1.09298726627019E-2</v>
      </c>
    </row>
    <row r="48" spans="2:8">
      <c r="B48" s="71" t="s">
        <v>216</v>
      </c>
    </row>
    <row r="49" spans="2:8">
      <c r="B49" s="71"/>
      <c r="C49" s="71"/>
      <c r="D49" s="71"/>
      <c r="E49" s="71"/>
      <c r="F49" s="71"/>
      <c r="G49" s="71"/>
      <c r="H49" s="71"/>
    </row>
    <row r="50" spans="2:8" ht="25.5">
      <c r="B50" s="123" t="s">
        <v>19</v>
      </c>
      <c r="C50" s="123" t="s">
        <v>148</v>
      </c>
      <c r="D50" s="123" t="s">
        <v>149</v>
      </c>
      <c r="E50" s="123" t="s">
        <v>150</v>
      </c>
      <c r="F50" s="123" t="s">
        <v>151</v>
      </c>
      <c r="G50" s="123" t="s">
        <v>215</v>
      </c>
      <c r="H50" s="123" t="s">
        <v>152</v>
      </c>
    </row>
    <row r="51" spans="2:8">
      <c r="B51" s="123">
        <f>First_Year+'Appendix B. Project Info'!B20</f>
        <v>2023</v>
      </c>
      <c r="C51" s="173" cm="1">
        <f t="array" ref="C51">IF(Table3D.2_DailyTTS_PA[[#This Row],[Year]]=Closeout,Traffic_27PA,Traffic_27PA+(TrafChange_PA*(Table3D.2_DailyTTS_PA[[#This Row],[Year]]-2027)))</f>
        <v>59238.933333333334</v>
      </c>
      <c r="D51" s="165" cm="1">
        <f t="array" ref="D51">IF(Table3D.2_DailyTTS_PA[[#This Row],[Year]]=Closeout,VMT_27PA,VMT_27PA+(VMTChange_PA*(Table3D.2_DailyTTS_PA[[#This Row],[Year]]-2027)))</f>
        <v>41428.091333333345</v>
      </c>
      <c r="E51" s="165" cm="1">
        <f t="array" ref="E51">IF(Table3D.2_DailyTTS_PA[[#This Row],[Year]]=Closeout,VHT_27PA,VHT_27PA+(VHTChange_PA*(Table3D.2_DailyTTS_PA[[#This Row],[Year]]-2027)))</f>
        <v>1625.2275137037034</v>
      </c>
      <c r="F51" s="165" cm="1">
        <f t="array" ref="F51">IF(Table3D.2_DailyTTS_PA[[#This Row],[Year]]=Closeout,MPH_27PA,MPH_27PA+(MPHChange_PA*(Table3D.2_DailyTTS_PA[[#This Row],[Year]]-2027)))</f>
        <v>25.938222222222223</v>
      </c>
      <c r="G51" s="165" cm="1">
        <f t="array" ref="G51">IF(Table3D.2_DailyTTS_PA[[#This Row],[Year]]=Closeout,DelayTot_27PA,DelayTot_27PA+(DelayTotChange_PA*(Table3D.2_DailyTTS_PA[[#This Row],[Year]]-2027)))</f>
        <v>552.9068603703704</v>
      </c>
      <c r="H51" s="166" cm="1">
        <f t="array" ref="H51">IF(Table3D.2_DailyTTS_PA[[#This Row],[Year]]=Closeout,AvgDelay_27PA,AvgDelay_27PA+(DelayChange_PA*(Table3D.2_DailyTTS_PA[[#This Row],[Year]]-2027)))</f>
        <v>8.9617780709390204E-3</v>
      </c>
    </row>
    <row r="52" spans="2:8">
      <c r="B52" s="123">
        <f>First_Year+'Appendix B. Project Info'!B21</f>
        <v>2024</v>
      </c>
      <c r="C52" s="173" cm="1">
        <f t="array" ref="C52">IF(Table3D.2_DailyTTS_PA[[#This Row],[Year]]=Closeout,Traffic_27PA,Traffic_27PA+(TrafChange_PA*(Table3D.2_DailyTTS_PA[[#This Row],[Year]]-2027)))</f>
        <v>59392.2</v>
      </c>
      <c r="D52" s="165" cm="1">
        <f t="array" ref="D52">IF(Table3D.2_DailyTTS_PA[[#This Row],[Year]]=Closeout,VMT_27PA,VMT_27PA+(VMTChange_PA*(Table3D.2_DailyTTS_PA[[#This Row],[Year]]-2027)))</f>
        <v>41535.286000000007</v>
      </c>
      <c r="E52" s="165" cm="1">
        <f t="array" ref="E52">IF(Table3D.2_DailyTTS_PA[[#This Row],[Year]]=Closeout,VHT_27PA,VHT_27PA+(VHTChange_PA*(Table3D.2_DailyTTS_PA[[#This Row],[Year]]-2027)))</f>
        <v>1630.5470866666665</v>
      </c>
      <c r="F52" s="165" cm="1">
        <f t="array" ref="F52">IF(Table3D.2_DailyTTS_PA[[#This Row],[Year]]=Closeout,MPH_27PA,MPH_27PA+(MPHChange_PA*(Table3D.2_DailyTTS_PA[[#This Row],[Year]]-2027)))</f>
        <v>25.924999999999997</v>
      </c>
      <c r="G52" s="165" cm="1">
        <f t="array" ref="G52">IF(Table3D.2_DailyTTS_PA[[#This Row],[Year]]=Closeout,DelayTot_27PA,DelayTot_27PA+(DelayTotChange_PA*(Table3D.2_DailyTTS_PA[[#This Row],[Year]]-2027)))</f>
        <v>555.44606333333343</v>
      </c>
      <c r="H52" s="166" cm="1">
        <f t="array" ref="H52">IF(Table3D.2_DailyTTS_PA[[#This Row],[Year]]=Closeout,AvgDelay_27PA,AvgDelay_27PA+(DelayChange_PA*(Table3D.2_DailyTTS_PA[[#This Row],[Year]]-2027)))</f>
        <v>8.9796478501540655E-3</v>
      </c>
    </row>
    <row r="53" spans="2:8">
      <c r="B53" s="123">
        <f>First_Year+'Appendix B. Project Info'!B22</f>
        <v>2025</v>
      </c>
      <c r="C53" s="173" cm="1">
        <f t="array" ref="C53">IF(Table3D.2_DailyTTS_PA[[#This Row],[Year]]=Closeout,Traffic_27PA,Traffic_27PA+(TrafChange_PA*(Table3D.2_DailyTTS_PA[[#This Row],[Year]]-2027)))</f>
        <v>59545.466666666667</v>
      </c>
      <c r="D53" s="165" cm="1">
        <f t="array" ref="D53">IF(Table3D.2_DailyTTS_PA[[#This Row],[Year]]=Closeout,VMT_27PA,VMT_27PA+(VMTChange_PA*(Table3D.2_DailyTTS_PA[[#This Row],[Year]]-2027)))</f>
        <v>41642.480666666677</v>
      </c>
      <c r="E53" s="165" cm="1">
        <f t="array" ref="E53">IF(Table3D.2_DailyTTS_PA[[#This Row],[Year]]=Closeout,VHT_27PA,VHT_27PA+(VHTChange_PA*(Table3D.2_DailyTTS_PA[[#This Row],[Year]]-2027)))</f>
        <v>1635.8666596296293</v>
      </c>
      <c r="F53" s="165" cm="1">
        <f t="array" ref="F53">IF(Table3D.2_DailyTTS_PA[[#This Row],[Year]]=Closeout,MPH_27PA,MPH_27PA+(MPHChange_PA*(Table3D.2_DailyTTS_PA[[#This Row],[Year]]-2027)))</f>
        <v>25.911777777777775</v>
      </c>
      <c r="G53" s="165" cm="1">
        <f t="array" ref="G53">IF(Table3D.2_DailyTTS_PA[[#This Row],[Year]]=Closeout,DelayTot_27PA,DelayTot_27PA+(DelayTotChange_PA*(Table3D.2_DailyTTS_PA[[#This Row],[Year]]-2027)))</f>
        <v>557.98526629629634</v>
      </c>
      <c r="H53" s="166" cm="1">
        <f t="array" ref="H53">IF(Table3D.2_DailyTTS_PA[[#This Row],[Year]]=Closeout,AvgDelay_27PA,AvgDelay_27PA+(DelayChange_PA*(Table3D.2_DailyTTS_PA[[#This Row],[Year]]-2027)))</f>
        <v>8.9975176293691089E-3</v>
      </c>
    </row>
    <row r="54" spans="2:8">
      <c r="B54" s="123">
        <f>First_Year+'Appendix B. Project Info'!B23</f>
        <v>2026</v>
      </c>
      <c r="C54" s="173" cm="1">
        <f t="array" ref="C54">IF(Table3D.2_DailyTTS_PA[[#This Row],[Year]]=Closeout,Traffic_27PA,Traffic_27PA+(TrafChange_PA*(Table3D.2_DailyTTS_PA[[#This Row],[Year]]-2027)))</f>
        <v>59698.73333333333</v>
      </c>
      <c r="D54" s="165" cm="1">
        <f t="array" ref="D54">IF(Table3D.2_DailyTTS_PA[[#This Row],[Year]]=Closeout,VMT_27PA,VMT_27PA+(VMTChange_PA*(Table3D.2_DailyTTS_PA[[#This Row],[Year]]-2027)))</f>
        <v>41749.675333333347</v>
      </c>
      <c r="E54" s="165" cm="1">
        <f t="array" ref="E54">IF(Table3D.2_DailyTTS_PA[[#This Row],[Year]]=Closeout,VHT_27PA,VHT_27PA+(VHTChange_PA*(Table3D.2_DailyTTS_PA[[#This Row],[Year]]-2027)))</f>
        <v>1641.1862325925924</v>
      </c>
      <c r="F54" s="165" cm="1">
        <f t="array" ref="F54">IF(Table3D.2_DailyTTS_PA[[#This Row],[Year]]=Closeout,MPH_27PA,MPH_27PA+(MPHChange_PA*(Table3D.2_DailyTTS_PA[[#This Row],[Year]]-2027)))</f>
        <v>25.898555555555554</v>
      </c>
      <c r="G54" s="165" cm="1">
        <f t="array" ref="G54">IF(Table3D.2_DailyTTS_PA[[#This Row],[Year]]=Closeout,DelayTot_27PA,DelayTot_27PA+(DelayTotChange_PA*(Table3D.2_DailyTTS_PA[[#This Row],[Year]]-2027)))</f>
        <v>560.52446925925938</v>
      </c>
      <c r="H54" s="166" cm="1">
        <f t="array" ref="H54">IF(Table3D.2_DailyTTS_PA[[#This Row],[Year]]=Closeout,AvgDelay_27PA,AvgDelay_27PA+(DelayChange_PA*(Table3D.2_DailyTTS_PA[[#This Row],[Year]]-2027)))</f>
        <v>9.0153874085841541E-3</v>
      </c>
    </row>
    <row r="55" spans="2:8">
      <c r="B55" s="123">
        <f>First_Year+'Appendix B. Project Info'!B24</f>
        <v>2027</v>
      </c>
      <c r="C55" s="173" cm="1">
        <f t="array" ref="C55">IF(Table3D.2_DailyTTS_PA[[#This Row],[Year]]=Closeout,Traffic_27PA,Traffic_27PA+(TrafChange_PA*(Table3D.2_DailyTTS_PA[[#This Row],[Year]]-2027)))</f>
        <v>59852</v>
      </c>
      <c r="D55" s="165" cm="1">
        <f t="array" ref="D55">IF(Table3D.2_DailyTTS_PA[[#This Row],[Year]]=Closeout,VMT_27PA,VMT_27PA+(VMTChange_PA*(Table3D.2_DailyTTS_PA[[#This Row],[Year]]-2027)))</f>
        <v>41856.87000000001</v>
      </c>
      <c r="E55" s="165" cm="1">
        <f t="array" ref="E55">IF(Table3D.2_DailyTTS_PA[[#This Row],[Year]]=Closeout,VHT_27PA,VHT_27PA+(VHTChange_PA*(Table3D.2_DailyTTS_PA[[#This Row],[Year]]-2027)))</f>
        <v>1646.5058055555553</v>
      </c>
      <c r="F55" s="165" cm="1">
        <f t="array" ref="F55">IF(Table3D.2_DailyTTS_PA[[#This Row],[Year]]=Closeout,MPH_27PA,MPH_27PA+(MPHChange_PA*(Table3D.2_DailyTTS_PA[[#This Row],[Year]]-2027)))</f>
        <v>25.885333333333332</v>
      </c>
      <c r="G55" s="165" cm="1">
        <f t="array" ref="G55">IF(Table3D.2_DailyTTS_PA[[#This Row],[Year]]=Closeout,DelayTot_27PA,DelayTot_27PA+(DelayTotChange_PA*(Table3D.2_DailyTTS_PA[[#This Row],[Year]]-2027)))</f>
        <v>563.06367222222229</v>
      </c>
      <c r="H55" s="166" cm="1">
        <f t="array" ref="H55">IF(Table3D.2_DailyTTS_PA[[#This Row],[Year]]=Closeout,AvgDelay_27PA,AvgDelay_27PA+(DelayChange_PA*(Table3D.2_DailyTTS_PA[[#This Row],[Year]]-2027)))</f>
        <v>9.0332571877991992E-3</v>
      </c>
    </row>
    <row r="56" spans="2:8">
      <c r="B56" s="123">
        <f>First_Year+'Appendix B. Project Info'!B25</f>
        <v>2028</v>
      </c>
      <c r="C56" s="173" cm="1">
        <f t="array" ref="C56">IF(Table3D.2_DailyTTS_PA[[#This Row],[Year]]=Closeout,Traffic_27PA,Traffic_27PA+(TrafChange_PA*(Table3D.2_DailyTTS_PA[[#This Row],[Year]]-2027)))</f>
        <v>59852</v>
      </c>
      <c r="D56" s="165" cm="1">
        <f t="array" ref="D56">IF(Table3D.2_DailyTTS_PA[[#This Row],[Year]]=Closeout,VMT_27PA,VMT_27PA+(VMTChange_PA*(Table3D.2_DailyTTS_PA[[#This Row],[Year]]-2027)))</f>
        <v>41856.87000000001</v>
      </c>
      <c r="E56" s="165" cm="1">
        <f t="array" ref="E56">IF(Table3D.2_DailyTTS_PA[[#This Row],[Year]]=Closeout,VHT_27PA,VHT_27PA+(VHTChange_PA*(Table3D.2_DailyTTS_PA[[#This Row],[Year]]-2027)))</f>
        <v>1646.5058055555553</v>
      </c>
      <c r="F56" s="165" cm="1">
        <f t="array" ref="F56">IF(Table3D.2_DailyTTS_PA[[#This Row],[Year]]=Closeout,MPH_27PA,MPH_27PA+(MPHChange_PA*(Table3D.2_DailyTTS_PA[[#This Row],[Year]]-2027)))</f>
        <v>25.885333333333332</v>
      </c>
      <c r="G56" s="165" cm="1">
        <f t="array" ref="G56">IF(Table3D.2_DailyTTS_PA[[#This Row],[Year]]=Closeout,DelayTot_27PA,DelayTot_27PA+(DelayTotChange_PA*(Table3D.2_DailyTTS_PA[[#This Row],[Year]]-2027)))</f>
        <v>563.06367222222229</v>
      </c>
      <c r="H56" s="166" cm="1">
        <f t="array" ref="H56">IF(Table3D.2_DailyTTS_PA[[#This Row],[Year]]=Closeout,AvgDelay_27PA,AvgDelay_27PA+(DelayChange_PA*(Table3D.2_DailyTTS_PA[[#This Row],[Year]]-2027)))</f>
        <v>9.0332571877991992E-3</v>
      </c>
    </row>
    <row r="57" spans="2:8">
      <c r="B57" s="123">
        <f>First_Year+'Appendix B. Project Info'!B26</f>
        <v>2029</v>
      </c>
      <c r="C57" s="173" cm="1">
        <f t="array" ref="C57">IF(Table3D.2_DailyTTS_PA[[#This Row],[Year]]=Closeout,Traffic_27PA,Traffic_27PA+(TrafChange_PA*(Table3D.2_DailyTTS_PA[[#This Row],[Year]]-2027)))</f>
        <v>60158.533333333333</v>
      </c>
      <c r="D57" s="165" cm="1">
        <f t="array" ref="D57">IF(Table3D.2_DailyTTS_PA[[#This Row],[Year]]=Closeout,VMT_27PA,VMT_27PA+(VMTChange_PA*(Table3D.2_DailyTTS_PA[[#This Row],[Year]]-2027)))</f>
        <v>42071.259333333343</v>
      </c>
      <c r="E57" s="165" cm="1">
        <f t="array" ref="E57">IF(Table3D.2_DailyTTS_PA[[#This Row],[Year]]=Closeout,VHT_27PA,VHT_27PA+(VHTChange_PA*(Table3D.2_DailyTTS_PA[[#This Row],[Year]]-2027)))</f>
        <v>1657.1449514814813</v>
      </c>
      <c r="F57" s="165" cm="1">
        <f t="array" ref="F57">IF(Table3D.2_DailyTTS_PA[[#This Row],[Year]]=Closeout,MPH_27PA,MPH_27PA+(MPHChange_PA*(Table3D.2_DailyTTS_PA[[#This Row],[Year]]-2027)))</f>
        <v>25.858888888888888</v>
      </c>
      <c r="G57" s="165" cm="1">
        <f t="array" ref="G57">IF(Table3D.2_DailyTTS_PA[[#This Row],[Year]]=Closeout,DelayTot_27PA,DelayTot_27PA+(DelayTotChange_PA*(Table3D.2_DailyTTS_PA[[#This Row],[Year]]-2027)))</f>
        <v>568.14207814814824</v>
      </c>
      <c r="H57" s="166" cm="1">
        <f t="array" ref="H57">IF(Table3D.2_DailyTTS_PA[[#This Row],[Year]]=Closeout,AvgDelay_27PA,AvgDelay_27PA+(DelayChange_PA*(Table3D.2_DailyTTS_PA[[#This Row],[Year]]-2027)))</f>
        <v>9.0689967462292895E-3</v>
      </c>
    </row>
    <row r="58" spans="2:8">
      <c r="B58" s="123">
        <f>First_Year+'Appendix B. Project Info'!B27</f>
        <v>2030</v>
      </c>
      <c r="C58" s="173" cm="1">
        <f t="array" ref="C58">IF(Table3D.2_DailyTTS_PA[[#This Row],[Year]]=Closeout,Traffic_27PA,Traffic_27PA+(TrafChange_PA*(Table3D.2_DailyTTS_PA[[#This Row],[Year]]-2027)))</f>
        <v>60311.8</v>
      </c>
      <c r="D58" s="165" cm="1">
        <f t="array" ref="D58">IF(Table3D.2_DailyTTS_PA[[#This Row],[Year]]=Closeout,VMT_27PA,VMT_27PA+(VMTChange_PA*(Table3D.2_DailyTTS_PA[[#This Row],[Year]]-2027)))</f>
        <v>42178.454000000012</v>
      </c>
      <c r="E58" s="165" cm="1">
        <f t="array" ref="E58">IF(Table3D.2_DailyTTS_PA[[#This Row],[Year]]=Closeout,VHT_27PA,VHT_27PA+(VHTChange_PA*(Table3D.2_DailyTTS_PA[[#This Row],[Year]]-2027)))</f>
        <v>1662.4645244444441</v>
      </c>
      <c r="F58" s="165" cm="1">
        <f t="array" ref="F58">IF(Table3D.2_DailyTTS_PA[[#This Row],[Year]]=Closeout,MPH_27PA,MPH_27PA+(MPHChange_PA*(Table3D.2_DailyTTS_PA[[#This Row],[Year]]-2027)))</f>
        <v>25.845666666666666</v>
      </c>
      <c r="G58" s="165" cm="1">
        <f t="array" ref="G58">IF(Table3D.2_DailyTTS_PA[[#This Row],[Year]]=Closeout,DelayTot_27PA,DelayTot_27PA+(DelayTotChange_PA*(Table3D.2_DailyTTS_PA[[#This Row],[Year]]-2027)))</f>
        <v>570.68128111111116</v>
      </c>
      <c r="H58" s="166" cm="1">
        <f t="array" ref="H58">IF(Table3D.2_DailyTTS_PA[[#This Row],[Year]]=Closeout,AvgDelay_27PA,AvgDelay_27PA+(DelayChange_PA*(Table3D.2_DailyTTS_PA[[#This Row],[Year]]-2027)))</f>
        <v>9.0868665254443329E-3</v>
      </c>
    </row>
    <row r="59" spans="2:8">
      <c r="B59" s="123">
        <f>First_Year+'Appendix B. Project Info'!B28</f>
        <v>2031</v>
      </c>
      <c r="C59" s="173" cm="1">
        <f t="array" ref="C59">IF(Table3D.2_DailyTTS_PA[[#This Row],[Year]]=Closeout,Traffic_27PA,Traffic_27PA+(TrafChange_PA*(Table3D.2_DailyTTS_PA[[#This Row],[Year]]-2027)))</f>
        <v>60465.066666666666</v>
      </c>
      <c r="D59" s="165" cm="1">
        <f t="array" ref="D59">IF(Table3D.2_DailyTTS_PA[[#This Row],[Year]]=Closeout,VMT_27PA,VMT_27PA+(VMTChange_PA*(Table3D.2_DailyTTS_PA[[#This Row],[Year]]-2027)))</f>
        <v>42285.648666666675</v>
      </c>
      <c r="E59" s="165" cm="1">
        <f t="array" ref="E59">IF(Table3D.2_DailyTTS_PA[[#This Row],[Year]]=Closeout,VHT_27PA,VHT_27PA+(VHTChange_PA*(Table3D.2_DailyTTS_PA[[#This Row],[Year]]-2027)))</f>
        <v>1667.7840974074072</v>
      </c>
      <c r="F59" s="165" cm="1">
        <f t="array" ref="F59">IF(Table3D.2_DailyTTS_PA[[#This Row],[Year]]=Closeout,MPH_27PA,MPH_27PA+(MPHChange_PA*(Table3D.2_DailyTTS_PA[[#This Row],[Year]]-2027)))</f>
        <v>25.832444444444441</v>
      </c>
      <c r="G59" s="165" cm="1">
        <f t="array" ref="G59">IF(Table3D.2_DailyTTS_PA[[#This Row],[Year]]=Closeout,DelayTot_27PA,DelayTot_27PA+(DelayTotChange_PA*(Table3D.2_DailyTTS_PA[[#This Row],[Year]]-2027)))</f>
        <v>573.22048407407419</v>
      </c>
      <c r="H59" s="166" cm="1">
        <f t="array" ref="H59">IF(Table3D.2_DailyTTS_PA[[#This Row],[Year]]=Closeout,AvgDelay_27PA,AvgDelay_27PA+(DelayChange_PA*(Table3D.2_DailyTTS_PA[[#This Row],[Year]]-2027)))</f>
        <v>9.104736304659378E-3</v>
      </c>
    </row>
    <row r="60" spans="2:8">
      <c r="B60" s="123">
        <f>First_Year+'Appendix B. Project Info'!B29</f>
        <v>2032</v>
      </c>
      <c r="C60" s="173" cm="1">
        <f t="array" ref="C60">IF(Table3D.2_DailyTTS_PA[[#This Row],[Year]]=Closeout,Traffic_27PA,Traffic_27PA+(TrafChange_PA*(Table3D.2_DailyTTS_PA[[#This Row],[Year]]-2027)))</f>
        <v>60618.333333333336</v>
      </c>
      <c r="D60" s="165" cm="1">
        <f t="array" ref="D60">IF(Table3D.2_DailyTTS_PA[[#This Row],[Year]]=Closeout,VMT_27PA,VMT_27PA+(VMTChange_PA*(Table3D.2_DailyTTS_PA[[#This Row],[Year]]-2027)))</f>
        <v>42392.843333333338</v>
      </c>
      <c r="E60" s="165" cm="1">
        <f t="array" ref="E60">IF(Table3D.2_DailyTTS_PA[[#This Row],[Year]]=Closeout,VHT_27PA,VHT_27PA+(VHTChange_PA*(Table3D.2_DailyTTS_PA[[#This Row],[Year]]-2027)))</f>
        <v>1673.1036703703701</v>
      </c>
      <c r="F60" s="165" cm="1">
        <f t="array" ref="F60">IF(Table3D.2_DailyTTS_PA[[#This Row],[Year]]=Closeout,MPH_27PA,MPH_27PA+(MPHChange_PA*(Table3D.2_DailyTTS_PA[[#This Row],[Year]]-2027)))</f>
        <v>25.819222222222219</v>
      </c>
      <c r="G60" s="165" cm="1">
        <f t="array" ref="G60">IF(Table3D.2_DailyTTS_PA[[#This Row],[Year]]=Closeout,DelayTot_27PA,DelayTot_27PA+(DelayTotChange_PA*(Table3D.2_DailyTTS_PA[[#This Row],[Year]]-2027)))</f>
        <v>575.75968703703711</v>
      </c>
      <c r="H60" s="166" cm="1">
        <f t="array" ref="H60">IF(Table3D.2_DailyTTS_PA[[#This Row],[Year]]=Closeout,AvgDelay_27PA,AvgDelay_27PA+(DelayChange_PA*(Table3D.2_DailyTTS_PA[[#This Row],[Year]]-2027)))</f>
        <v>9.1226060838744231E-3</v>
      </c>
    </row>
    <row r="61" spans="2:8">
      <c r="B61" s="123">
        <f>First_Year+'Appendix B. Project Info'!B30</f>
        <v>2033</v>
      </c>
      <c r="C61" s="173" cm="1">
        <f t="array" ref="C61">IF(Table3D.2_DailyTTS_PA[[#This Row],[Year]]=Closeout,Traffic_27PA,Traffic_27PA+(TrafChange_PA*(Table3D.2_DailyTTS_PA[[#This Row],[Year]]-2027)))</f>
        <v>60771.6</v>
      </c>
      <c r="D61" s="165" cm="1">
        <f t="array" ref="D61">IF(Table3D.2_DailyTTS_PA[[#This Row],[Year]]=Closeout,VMT_27PA,VMT_27PA+(VMTChange_PA*(Table3D.2_DailyTTS_PA[[#This Row],[Year]]-2027)))</f>
        <v>42500.038000000008</v>
      </c>
      <c r="E61" s="165" cm="1">
        <f t="array" ref="E61">IF(Table3D.2_DailyTTS_PA[[#This Row],[Year]]=Closeout,VHT_27PA,VHT_27PA+(VHTChange_PA*(Table3D.2_DailyTTS_PA[[#This Row],[Year]]-2027)))</f>
        <v>1678.4232433333332</v>
      </c>
      <c r="F61" s="165" cm="1">
        <f t="array" ref="F61">IF(Table3D.2_DailyTTS_PA[[#This Row],[Year]]=Closeout,MPH_27PA,MPH_27PA+(MPHChange_PA*(Table3D.2_DailyTTS_PA[[#This Row],[Year]]-2027)))</f>
        <v>25.805999999999997</v>
      </c>
      <c r="G61" s="165" cm="1">
        <f t="array" ref="G61">IF(Table3D.2_DailyTTS_PA[[#This Row],[Year]]=Closeout,DelayTot_27PA,DelayTot_27PA+(DelayTotChange_PA*(Table3D.2_DailyTTS_PA[[#This Row],[Year]]-2027)))</f>
        <v>578.29889000000003</v>
      </c>
      <c r="H61" s="166" cm="1">
        <f t="array" ref="H61">IF(Table3D.2_DailyTTS_PA[[#This Row],[Year]]=Closeout,AvgDelay_27PA,AvgDelay_27PA+(DelayChange_PA*(Table3D.2_DailyTTS_PA[[#This Row],[Year]]-2027)))</f>
        <v>9.1404758630894683E-3</v>
      </c>
    </row>
    <row r="62" spans="2:8">
      <c r="B62" s="123">
        <f>First_Year+'Appendix B. Project Info'!B31</f>
        <v>2034</v>
      </c>
      <c r="C62" s="173" cm="1">
        <f t="array" ref="C62">IF(Table3D.2_DailyTTS_PA[[#This Row],[Year]]=Closeout,Traffic_27PA,Traffic_27PA+(TrafChange_PA*(Table3D.2_DailyTTS_PA[[#This Row],[Year]]-2027)))</f>
        <v>60924.866666666669</v>
      </c>
      <c r="D62" s="165" cm="1">
        <f t="array" ref="D62">IF(Table3D.2_DailyTTS_PA[[#This Row],[Year]]=Closeout,VMT_27PA,VMT_27PA+(VMTChange_PA*(Table3D.2_DailyTTS_PA[[#This Row],[Year]]-2027)))</f>
        <v>42607.232666666678</v>
      </c>
      <c r="E62" s="165" cm="1">
        <f t="array" ref="E62">IF(Table3D.2_DailyTTS_PA[[#This Row],[Year]]=Closeout,VHT_27PA,VHT_27PA+(VHTChange_PA*(Table3D.2_DailyTTS_PA[[#This Row],[Year]]-2027)))</f>
        <v>1683.742816296296</v>
      </c>
      <c r="F62" s="165" cm="1">
        <f t="array" ref="F62">IF(Table3D.2_DailyTTS_PA[[#This Row],[Year]]=Closeout,MPH_27PA,MPH_27PA+(MPHChange_PA*(Table3D.2_DailyTTS_PA[[#This Row],[Year]]-2027)))</f>
        <v>25.792777777777776</v>
      </c>
      <c r="G62" s="165" cm="1">
        <f t="array" ref="G62">IF(Table3D.2_DailyTTS_PA[[#This Row],[Year]]=Closeout,DelayTot_27PA,DelayTot_27PA+(DelayTotChange_PA*(Table3D.2_DailyTTS_PA[[#This Row],[Year]]-2027)))</f>
        <v>580.83809296296306</v>
      </c>
      <c r="H62" s="166" cm="1">
        <f t="array" ref="H62">IF(Table3D.2_DailyTTS_PA[[#This Row],[Year]]=Closeout,AvgDelay_27PA,AvgDelay_27PA+(DelayChange_PA*(Table3D.2_DailyTTS_PA[[#This Row],[Year]]-2027)))</f>
        <v>9.1583456423045134E-3</v>
      </c>
    </row>
    <row r="63" spans="2:8">
      <c r="B63" s="123">
        <f>First_Year+'Appendix B. Project Info'!B32</f>
        <v>2035</v>
      </c>
      <c r="C63" s="173" cm="1">
        <f t="array" ref="C63">IF(Table3D.2_DailyTTS_PA[[#This Row],[Year]]=Closeout,Traffic_27PA,Traffic_27PA+(TrafChange_PA*(Table3D.2_DailyTTS_PA[[#This Row],[Year]]-2027)))</f>
        <v>61078.133333333331</v>
      </c>
      <c r="D63" s="165" cm="1">
        <f t="array" ref="D63">IF(Table3D.2_DailyTTS_PA[[#This Row],[Year]]=Closeout,VMT_27PA,VMT_27PA+(VMTChange_PA*(Table3D.2_DailyTTS_PA[[#This Row],[Year]]-2027)))</f>
        <v>42714.42733333334</v>
      </c>
      <c r="E63" s="165" cm="1">
        <f t="array" ref="E63">IF(Table3D.2_DailyTTS_PA[[#This Row],[Year]]=Closeout,VHT_27PA,VHT_27PA+(VHTChange_PA*(Table3D.2_DailyTTS_PA[[#This Row],[Year]]-2027)))</f>
        <v>1689.0623892592589</v>
      </c>
      <c r="F63" s="165" cm="1">
        <f t="array" ref="F63">IF(Table3D.2_DailyTTS_PA[[#This Row],[Year]]=Closeout,MPH_27PA,MPH_27PA+(MPHChange_PA*(Table3D.2_DailyTTS_PA[[#This Row],[Year]]-2027)))</f>
        <v>25.779555555555554</v>
      </c>
      <c r="G63" s="165" cm="1">
        <f t="array" ref="G63">IF(Table3D.2_DailyTTS_PA[[#This Row],[Year]]=Closeout,DelayTot_27PA,DelayTot_27PA+(DelayTotChange_PA*(Table3D.2_DailyTTS_PA[[#This Row],[Year]]-2027)))</f>
        <v>583.37729592592598</v>
      </c>
      <c r="H63" s="166" cm="1">
        <f t="array" ref="H63">IF(Table3D.2_DailyTTS_PA[[#This Row],[Year]]=Closeout,AvgDelay_27PA,AvgDelay_27PA+(DelayChange_PA*(Table3D.2_DailyTTS_PA[[#This Row],[Year]]-2027)))</f>
        <v>9.1762154215195568E-3</v>
      </c>
    </row>
    <row r="64" spans="2:8">
      <c r="B64" s="123">
        <f>First_Year+'Appendix B. Project Info'!B33</f>
        <v>2036</v>
      </c>
      <c r="C64" s="173" cm="1">
        <f t="array" ref="C64">IF(Table3D.2_DailyTTS_PA[[#This Row],[Year]]=Closeout,Traffic_27PA,Traffic_27PA+(TrafChange_PA*(Table3D.2_DailyTTS_PA[[#This Row],[Year]]-2027)))</f>
        <v>61231.4</v>
      </c>
      <c r="D64" s="165" cm="1">
        <f t="array" ref="D64">IF(Table3D.2_DailyTTS_PA[[#This Row],[Year]]=Closeout,VMT_27PA,VMT_27PA+(VMTChange_PA*(Table3D.2_DailyTTS_PA[[#This Row],[Year]]-2027)))</f>
        <v>42821.622000000003</v>
      </c>
      <c r="E64" s="165" cm="1">
        <f t="array" ref="E64">IF(Table3D.2_DailyTTS_PA[[#This Row],[Year]]=Closeout,VHT_27PA,VHT_27PA+(VHTChange_PA*(Table3D.2_DailyTTS_PA[[#This Row],[Year]]-2027)))</f>
        <v>1694.381962222222</v>
      </c>
      <c r="F64" s="165" cm="1">
        <f t="array" ref="F64">IF(Table3D.2_DailyTTS_PA[[#This Row],[Year]]=Closeout,MPH_27PA,MPH_27PA+(MPHChange_PA*(Table3D.2_DailyTTS_PA[[#This Row],[Year]]-2027)))</f>
        <v>25.766333333333332</v>
      </c>
      <c r="G64" s="165" cm="1">
        <f t="array" ref="G64">IF(Table3D.2_DailyTTS_PA[[#This Row],[Year]]=Closeout,DelayTot_27PA,DelayTot_27PA+(DelayTotChange_PA*(Table3D.2_DailyTTS_PA[[#This Row],[Year]]-2027)))</f>
        <v>585.91649888888901</v>
      </c>
      <c r="H64" s="166" cm="1">
        <f t="array" ref="H64">IF(Table3D.2_DailyTTS_PA[[#This Row],[Year]]=Closeout,AvgDelay_27PA,AvgDelay_27PA+(DelayChange_PA*(Table3D.2_DailyTTS_PA[[#This Row],[Year]]-2027)))</f>
        <v>9.194085200734602E-3</v>
      </c>
    </row>
    <row r="65" spans="2:8">
      <c r="B65" s="123">
        <f>First_Year+'Appendix B. Project Info'!B34</f>
        <v>2037</v>
      </c>
      <c r="C65" s="173" cm="1">
        <f t="array" ref="C65">IF(Table3D.2_DailyTTS_PA[[#This Row],[Year]]=Closeout,Traffic_27PA,Traffic_27PA+(TrafChange_PA*(Table3D.2_DailyTTS_PA[[#This Row],[Year]]-2027)))</f>
        <v>61384.666666666664</v>
      </c>
      <c r="D65" s="165" cm="1">
        <f t="array" ref="D65">IF(Table3D.2_DailyTTS_PA[[#This Row],[Year]]=Closeout,VMT_27PA,VMT_27PA+(VMTChange_PA*(Table3D.2_DailyTTS_PA[[#This Row],[Year]]-2027)))</f>
        <v>42928.816666666673</v>
      </c>
      <c r="E65" s="165" cm="1">
        <f t="array" ref="E65">IF(Table3D.2_DailyTTS_PA[[#This Row],[Year]]=Closeout,VHT_27PA,VHT_27PA+(VHTChange_PA*(Table3D.2_DailyTTS_PA[[#This Row],[Year]]-2027)))</f>
        <v>1699.7015351851849</v>
      </c>
      <c r="F65" s="165" cm="1">
        <f t="array" ref="F65">IF(Table3D.2_DailyTTS_PA[[#This Row],[Year]]=Closeout,MPH_27PA,MPH_27PA+(MPHChange_PA*(Table3D.2_DailyTTS_PA[[#This Row],[Year]]-2027)))</f>
        <v>25.75311111111111</v>
      </c>
      <c r="G65" s="165" cm="1">
        <f t="array" ref="G65">IF(Table3D.2_DailyTTS_PA[[#This Row],[Year]]=Closeout,DelayTot_27PA,DelayTot_27PA+(DelayTotChange_PA*(Table3D.2_DailyTTS_PA[[#This Row],[Year]]-2027)))</f>
        <v>588.45570185185193</v>
      </c>
      <c r="H65" s="166" cm="1">
        <f t="array" ref="H65">IF(Table3D.2_DailyTTS_PA[[#This Row],[Year]]=Closeout,AvgDelay_27PA,AvgDelay_27PA+(DelayChange_PA*(Table3D.2_DailyTTS_PA[[#This Row],[Year]]-2027)))</f>
        <v>9.2119549799496471E-3</v>
      </c>
    </row>
    <row r="66" spans="2:8">
      <c r="B66" s="123">
        <f>First_Year+'Appendix B. Project Info'!B35</f>
        <v>2038</v>
      </c>
      <c r="C66" s="173" cm="1">
        <f t="array" ref="C66">IF(Table3D.2_DailyTTS_PA[[#This Row],[Year]]=Closeout,Traffic_27PA,Traffic_27PA+(TrafChange_PA*(Table3D.2_DailyTTS_PA[[#This Row],[Year]]-2027)))</f>
        <v>61537.933333333334</v>
      </c>
      <c r="D66" s="165" cm="1">
        <f t="array" ref="D66">IF(Table3D.2_DailyTTS_PA[[#This Row],[Year]]=Closeout,VMT_27PA,VMT_27PA+(VMTChange_PA*(Table3D.2_DailyTTS_PA[[#This Row],[Year]]-2027)))</f>
        <v>43036.011333333343</v>
      </c>
      <c r="E66" s="165" cm="1">
        <f t="array" ref="E66">IF(Table3D.2_DailyTTS_PA[[#This Row],[Year]]=Closeout,VHT_27PA,VHT_27PA+(VHTChange_PA*(Table3D.2_DailyTTS_PA[[#This Row],[Year]]-2027)))</f>
        <v>1705.021108148148</v>
      </c>
      <c r="F66" s="165" cm="1">
        <f t="array" ref="F66">IF(Table3D.2_DailyTTS_PA[[#This Row],[Year]]=Closeout,MPH_27PA,MPH_27PA+(MPHChange_PA*(Table3D.2_DailyTTS_PA[[#This Row],[Year]]-2027)))</f>
        <v>25.739888888888888</v>
      </c>
      <c r="G66" s="165" cm="1">
        <f t="array" ref="G66">IF(Table3D.2_DailyTTS_PA[[#This Row],[Year]]=Closeout,DelayTot_27PA,DelayTot_27PA+(DelayTotChange_PA*(Table3D.2_DailyTTS_PA[[#This Row],[Year]]-2027)))</f>
        <v>590.99490481481484</v>
      </c>
      <c r="H66" s="166" cm="1">
        <f t="array" ref="H66">IF(Table3D.2_DailyTTS_PA[[#This Row],[Year]]=Closeout,AvgDelay_27PA,AvgDelay_27PA+(DelayChange_PA*(Table3D.2_DailyTTS_PA[[#This Row],[Year]]-2027)))</f>
        <v>9.2298247591646922E-3</v>
      </c>
    </row>
    <row r="67" spans="2:8">
      <c r="B67" s="123">
        <f>First_Year+'Appendix B. Project Info'!B36</f>
        <v>2039</v>
      </c>
      <c r="C67" s="173" cm="1">
        <f t="array" ref="C67">IF(Table3D.2_DailyTTS_PA[[#This Row],[Year]]=Closeout,Traffic_27PA,Traffic_27PA+(TrafChange_PA*(Table3D.2_DailyTTS_PA[[#This Row],[Year]]-2027)))</f>
        <v>61691.199999999997</v>
      </c>
      <c r="D67" s="165" cm="1">
        <f t="array" ref="D67">IF(Table3D.2_DailyTTS_PA[[#This Row],[Year]]=Closeout,VMT_27PA,VMT_27PA+(VMTChange_PA*(Table3D.2_DailyTTS_PA[[#This Row],[Year]]-2027)))</f>
        <v>43143.206000000006</v>
      </c>
      <c r="E67" s="165" cm="1">
        <f t="array" ref="E67">IF(Table3D.2_DailyTTS_PA[[#This Row],[Year]]=Closeout,VHT_27PA,VHT_27PA+(VHTChange_PA*(Table3D.2_DailyTTS_PA[[#This Row],[Year]]-2027)))</f>
        <v>1710.3406811111108</v>
      </c>
      <c r="F67" s="165" cm="1">
        <f t="array" ref="F67">IF(Table3D.2_DailyTTS_PA[[#This Row],[Year]]=Closeout,MPH_27PA,MPH_27PA+(MPHChange_PA*(Table3D.2_DailyTTS_PA[[#This Row],[Year]]-2027)))</f>
        <v>25.726666666666663</v>
      </c>
      <c r="G67" s="165" cm="1">
        <f t="array" ref="G67">IF(Table3D.2_DailyTTS_PA[[#This Row],[Year]]=Closeout,DelayTot_27PA,DelayTot_27PA+(DelayTotChange_PA*(Table3D.2_DailyTTS_PA[[#This Row],[Year]]-2027)))</f>
        <v>593.53410777777788</v>
      </c>
      <c r="H67" s="166" cm="1">
        <f t="array" ref="H67">IF(Table3D.2_DailyTTS_PA[[#This Row],[Year]]=Closeout,AvgDelay_27PA,AvgDelay_27PA+(DelayChange_PA*(Table3D.2_DailyTTS_PA[[#This Row],[Year]]-2027)))</f>
        <v>9.2476945383797374E-3</v>
      </c>
    </row>
    <row r="68" spans="2:8">
      <c r="B68" s="123">
        <f>First_Year+'Appendix B. Project Info'!B37</f>
        <v>2040</v>
      </c>
      <c r="C68" s="173" cm="1">
        <f t="array" ref="C68">IF(Table3D.2_DailyTTS_PA[[#This Row],[Year]]=Closeout,Traffic_27PA,Traffic_27PA+(TrafChange_PA*(Table3D.2_DailyTTS_PA[[#This Row],[Year]]-2027)))</f>
        <v>61844.466666666667</v>
      </c>
      <c r="D68" s="165" cm="1">
        <f t="array" ref="D68">IF(Table3D.2_DailyTTS_PA[[#This Row],[Year]]=Closeout,VMT_27PA,VMT_27PA+(VMTChange_PA*(Table3D.2_DailyTTS_PA[[#This Row],[Year]]-2027)))</f>
        <v>43250.400666666668</v>
      </c>
      <c r="E68" s="165" cm="1">
        <f t="array" ref="E68">IF(Table3D.2_DailyTTS_PA[[#This Row],[Year]]=Closeout,VHT_27PA,VHT_27PA+(VHTChange_PA*(Table3D.2_DailyTTS_PA[[#This Row],[Year]]-2027)))</f>
        <v>1715.6602540740739</v>
      </c>
      <c r="F68" s="165" cm="1">
        <f t="array" ref="F68">IF(Table3D.2_DailyTTS_PA[[#This Row],[Year]]=Closeout,MPH_27PA,MPH_27PA+(MPHChange_PA*(Table3D.2_DailyTTS_PA[[#This Row],[Year]]-2027)))</f>
        <v>25.713444444444441</v>
      </c>
      <c r="G68" s="165" cm="1">
        <f t="array" ref="G68">IF(Table3D.2_DailyTTS_PA[[#This Row],[Year]]=Closeout,DelayTot_27PA,DelayTot_27PA+(DelayTotChange_PA*(Table3D.2_DailyTTS_PA[[#This Row],[Year]]-2027)))</f>
        <v>596.07331074074079</v>
      </c>
      <c r="H68" s="166" cm="1">
        <f t="array" ref="H68">IF(Table3D.2_DailyTTS_PA[[#This Row],[Year]]=Closeout,AvgDelay_27PA,AvgDelay_27PA+(DelayChange_PA*(Table3D.2_DailyTTS_PA[[#This Row],[Year]]-2027)))</f>
        <v>9.2655643175947808E-3</v>
      </c>
    </row>
    <row r="69" spans="2:8">
      <c r="B69" s="123">
        <f>First_Year+'Appendix B. Project Info'!B38</f>
        <v>2041</v>
      </c>
      <c r="C69" s="173" cm="1">
        <f t="array" ref="C69">IF(Table3D.2_DailyTTS_PA[[#This Row],[Year]]=Closeout,Traffic_27PA,Traffic_27PA+(TrafChange_PA*(Table3D.2_DailyTTS_PA[[#This Row],[Year]]-2027)))</f>
        <v>61997.733333333337</v>
      </c>
      <c r="D69" s="165" cm="1">
        <f t="array" ref="D69">IF(Table3D.2_DailyTTS_PA[[#This Row],[Year]]=Closeout,VMT_27PA,VMT_27PA+(VMTChange_PA*(Table3D.2_DailyTTS_PA[[#This Row],[Year]]-2027)))</f>
        <v>43357.595333333338</v>
      </c>
      <c r="E69" s="165" cm="1">
        <f t="array" ref="E69">IF(Table3D.2_DailyTTS_PA[[#This Row],[Year]]=Closeout,VHT_27PA,VHT_27PA+(VHTChange_PA*(Table3D.2_DailyTTS_PA[[#This Row],[Year]]-2027)))</f>
        <v>1720.9798270370368</v>
      </c>
      <c r="F69" s="165" cm="1">
        <f t="array" ref="F69">IF(Table3D.2_DailyTTS_PA[[#This Row],[Year]]=Closeout,MPH_27PA,MPH_27PA+(MPHChange_PA*(Table3D.2_DailyTTS_PA[[#This Row],[Year]]-2027)))</f>
        <v>25.700222222222219</v>
      </c>
      <c r="G69" s="165" cm="1">
        <f t="array" ref="G69">IF(Table3D.2_DailyTTS_PA[[#This Row],[Year]]=Closeout,DelayTot_27PA,DelayTot_27PA+(DelayTotChange_PA*(Table3D.2_DailyTTS_PA[[#This Row],[Year]]-2027)))</f>
        <v>598.61251370370383</v>
      </c>
      <c r="H69" s="166" cm="1">
        <f t="array" ref="H69">IF(Table3D.2_DailyTTS_PA[[#This Row],[Year]]=Closeout,AvgDelay_27PA,AvgDelay_27PA+(DelayChange_PA*(Table3D.2_DailyTTS_PA[[#This Row],[Year]]-2027)))</f>
        <v>9.2834340968098259E-3</v>
      </c>
    </row>
    <row r="70" spans="2:8">
      <c r="B70" s="123">
        <f>First_Year+'Appendix B. Project Info'!B39</f>
        <v>2042</v>
      </c>
      <c r="C70" s="173" cm="1">
        <f t="array" ref="C70">IF(Table3D.2_DailyTTS_PA[[#This Row],[Year]]=Closeout,Traffic_27PA,Traffic_27PA+(TrafChange_PA*(Table3D.2_DailyTTS_PA[[#This Row],[Year]]-2027)))</f>
        <v>62151</v>
      </c>
      <c r="D70" s="165" cm="1">
        <f t="array" ref="D70">IF(Table3D.2_DailyTTS_PA[[#This Row],[Year]]=Closeout,VMT_27PA,VMT_27PA+(VMTChange_PA*(Table3D.2_DailyTTS_PA[[#This Row],[Year]]-2027)))</f>
        <v>43464.790000000008</v>
      </c>
      <c r="E70" s="165" cm="1">
        <f t="array" ref="E70">IF(Table3D.2_DailyTTS_PA[[#This Row],[Year]]=Closeout,VHT_27PA,VHT_27PA+(VHTChange_PA*(Table3D.2_DailyTTS_PA[[#This Row],[Year]]-2027)))</f>
        <v>1726.2993999999999</v>
      </c>
      <c r="F70" s="165" cm="1">
        <f t="array" ref="F70">IF(Table3D.2_DailyTTS_PA[[#This Row],[Year]]=Closeout,MPH_27PA,MPH_27PA+(MPHChange_PA*(Table3D.2_DailyTTS_PA[[#This Row],[Year]]-2027)))</f>
        <v>25.686999999999998</v>
      </c>
      <c r="G70" s="165" cm="1">
        <f t="array" ref="G70">IF(Table3D.2_DailyTTS_PA[[#This Row],[Year]]=Closeout,DelayTot_27PA,DelayTot_27PA+(DelayTotChange_PA*(Table3D.2_DailyTTS_PA[[#This Row],[Year]]-2027)))</f>
        <v>601.15171666666674</v>
      </c>
      <c r="H70" s="166" cm="1">
        <f t="array" ref="H70">IF(Table3D.2_DailyTTS_PA[[#This Row],[Year]]=Closeout,AvgDelay_27PA,AvgDelay_27PA+(DelayChange_PA*(Table3D.2_DailyTTS_PA[[#This Row],[Year]]-2027)))</f>
        <v>9.301303876024871E-3</v>
      </c>
    </row>
    <row r="71" spans="2:8">
      <c r="B71" s="123">
        <f>First_Year+'Appendix B. Project Info'!B40</f>
        <v>2043</v>
      </c>
      <c r="C71" s="173" cm="1">
        <f t="array" ref="C71">IF(Table3D.2_DailyTTS_PA[[#This Row],[Year]]=Closeout,Traffic_27PA,Traffic_27PA+(TrafChange_PA*(Table3D.2_DailyTTS_PA[[#This Row],[Year]]-2027)))</f>
        <v>62304.26666666667</v>
      </c>
      <c r="D71" s="165" cm="1">
        <f t="array" ref="D71">IF(Table3D.2_DailyTTS_PA[[#This Row],[Year]]=Closeout,VMT_27PA,VMT_27PA+(VMTChange_PA*(Table3D.2_DailyTTS_PA[[#This Row],[Year]]-2027)))</f>
        <v>43571.984666666671</v>
      </c>
      <c r="E71" s="165" cm="1">
        <f t="array" ref="E71">IF(Table3D.2_DailyTTS_PA[[#This Row],[Year]]=Closeout,VHT_27PA,VHT_27PA+(VHTChange_PA*(Table3D.2_DailyTTS_PA[[#This Row],[Year]]-2027)))</f>
        <v>1731.6189729629627</v>
      </c>
      <c r="F71" s="165" cm="1">
        <f t="array" ref="F71">IF(Table3D.2_DailyTTS_PA[[#This Row],[Year]]=Closeout,MPH_27PA,MPH_27PA+(MPHChange_PA*(Table3D.2_DailyTTS_PA[[#This Row],[Year]]-2027)))</f>
        <v>25.673777777777776</v>
      </c>
      <c r="G71" s="165" cm="1">
        <f t="array" ref="G71">IF(Table3D.2_DailyTTS_PA[[#This Row],[Year]]=Closeout,DelayTot_27PA,DelayTot_27PA+(DelayTotChange_PA*(Table3D.2_DailyTTS_PA[[#This Row],[Year]]-2027)))</f>
        <v>603.69091962962966</v>
      </c>
      <c r="H71" s="166" cm="1">
        <f t="array" ref="H71">IF(Table3D.2_DailyTTS_PA[[#This Row],[Year]]=Closeout,AvgDelay_27PA,AvgDelay_27PA+(DelayChange_PA*(Table3D.2_DailyTTS_PA[[#This Row],[Year]]-2027)))</f>
        <v>9.3191736552399162E-3</v>
      </c>
    </row>
    <row r="72" spans="2:8">
      <c r="B72" s="123">
        <f>First_Year+'Appendix B. Project Info'!B41</f>
        <v>2044</v>
      </c>
      <c r="C72" s="173" cm="1">
        <f t="array" ref="C72">IF(Table3D.2_DailyTTS_PA[[#This Row],[Year]]=Closeout,Traffic_27PA,Traffic_27PA+(TrafChange_PA*(Table3D.2_DailyTTS_PA[[#This Row],[Year]]-2027)))</f>
        <v>62457.533333333333</v>
      </c>
      <c r="D72" s="165" cm="1">
        <f t="array" ref="D72">IF(Table3D.2_DailyTTS_PA[[#This Row],[Year]]=Closeout,VMT_27PA,VMT_27PA+(VMTChange_PA*(Table3D.2_DailyTTS_PA[[#This Row],[Year]]-2027)))</f>
        <v>43679.179333333333</v>
      </c>
      <c r="E72" s="165" cm="1">
        <f t="array" ref="E72">IF(Table3D.2_DailyTTS_PA[[#This Row],[Year]]=Closeout,VHT_27PA,VHT_27PA+(VHTChange_PA*(Table3D.2_DailyTTS_PA[[#This Row],[Year]]-2027)))</f>
        <v>1736.9385459259256</v>
      </c>
      <c r="F72" s="165" cm="1">
        <f t="array" ref="F72">IF(Table3D.2_DailyTTS_PA[[#This Row],[Year]]=Closeout,MPH_27PA,MPH_27PA+(MPHChange_PA*(Table3D.2_DailyTTS_PA[[#This Row],[Year]]-2027)))</f>
        <v>25.660555555555554</v>
      </c>
      <c r="G72" s="165" cm="1">
        <f t="array" ref="G72">IF(Table3D.2_DailyTTS_PA[[#This Row],[Year]]=Closeout,DelayTot_27PA,DelayTot_27PA+(DelayTotChange_PA*(Table3D.2_DailyTTS_PA[[#This Row],[Year]]-2027)))</f>
        <v>606.23012259259269</v>
      </c>
      <c r="H72" s="166" cm="1">
        <f t="array" ref="H72">IF(Table3D.2_DailyTTS_PA[[#This Row],[Year]]=Closeout,AvgDelay_27PA,AvgDelay_27PA+(DelayChange_PA*(Table3D.2_DailyTTS_PA[[#This Row],[Year]]-2027)))</f>
        <v>9.3370434344549613E-3</v>
      </c>
    </row>
    <row r="73" spans="2:8">
      <c r="B73" s="123">
        <f>First_Year+'Appendix B. Project Info'!B42</f>
        <v>2045</v>
      </c>
      <c r="C73" s="173" cm="1">
        <f t="array" ref="C73">IF(Table3D.2_DailyTTS_PA[[#This Row],[Year]]=Closeout,Traffic_27PA,Traffic_27PA+(TrafChange_PA*(Table3D.2_DailyTTS_PA[[#This Row],[Year]]-2027)))</f>
        <v>62610.8</v>
      </c>
      <c r="D73" s="165" cm="1">
        <f t="array" ref="D73">IF(Table3D.2_DailyTTS_PA[[#This Row],[Year]]=Closeout,VMT_27PA,VMT_27PA+(VMTChange_PA*(Table3D.2_DailyTTS_PA[[#This Row],[Year]]-2027)))</f>
        <v>43786.374000000003</v>
      </c>
      <c r="E73" s="165" cm="1">
        <f t="array" ref="E73">IF(Table3D.2_DailyTTS_PA[[#This Row],[Year]]=Closeout,VHT_27PA,VHT_27PA+(VHTChange_PA*(Table3D.2_DailyTTS_PA[[#This Row],[Year]]-2027)))</f>
        <v>1742.2581188888887</v>
      </c>
      <c r="F73" s="165" cm="1">
        <f t="array" ref="F73">IF(Table3D.2_DailyTTS_PA[[#This Row],[Year]]=Closeout,MPH_27PA,MPH_27PA+(MPHChange_PA*(Table3D.2_DailyTTS_PA[[#This Row],[Year]]-2027)))</f>
        <v>25.647333333333332</v>
      </c>
      <c r="G73" s="165" cm="1">
        <f t="array" ref="G73">IF(Table3D.2_DailyTTS_PA[[#This Row],[Year]]=Closeout,DelayTot_27PA,DelayTot_27PA+(DelayTotChange_PA*(Table3D.2_DailyTTS_PA[[#This Row],[Year]]-2027)))</f>
        <v>608.76932555555561</v>
      </c>
      <c r="H73" s="166" cm="1">
        <f t="array" ref="H73">IF(Table3D.2_DailyTTS_PA[[#This Row],[Year]]=Closeout,AvgDelay_27PA,AvgDelay_27PA+(DelayChange_PA*(Table3D.2_DailyTTS_PA[[#This Row],[Year]]-2027)))</f>
        <v>9.3549132136700047E-3</v>
      </c>
    </row>
    <row r="74" spans="2:8">
      <c r="B74" s="123">
        <f>First_Year+'Appendix B. Project Info'!B43</f>
        <v>2046</v>
      </c>
      <c r="C74" s="173" cm="1">
        <f t="array" ref="C74">IF(Table3D.2_DailyTTS_PA[[#This Row],[Year]]=Closeout,Traffic_27PA,Traffic_27PA+(TrafChange_PA*(Table3D.2_DailyTTS_PA[[#This Row],[Year]]-2027)))</f>
        <v>62764.066666666666</v>
      </c>
      <c r="D74" s="165" cm="1">
        <f t="array" ref="D74">IF(Table3D.2_DailyTTS_PA[[#This Row],[Year]]=Closeout,VMT_27PA,VMT_27PA+(VMTChange_PA*(Table3D.2_DailyTTS_PA[[#This Row],[Year]]-2027)))</f>
        <v>43893.568666666673</v>
      </c>
      <c r="E74" s="165" cm="1">
        <f t="array" ref="E74">IF(Table3D.2_DailyTTS_PA[[#This Row],[Year]]=Closeout,VHT_27PA,VHT_27PA+(VHTChange_PA*(Table3D.2_DailyTTS_PA[[#This Row],[Year]]-2027)))</f>
        <v>1747.5776918518516</v>
      </c>
      <c r="F74" s="165" cm="1">
        <f t="array" ref="F74">IF(Table3D.2_DailyTTS_PA[[#This Row],[Year]]=Closeout,MPH_27PA,MPH_27PA+(MPHChange_PA*(Table3D.2_DailyTTS_PA[[#This Row],[Year]]-2027)))</f>
        <v>25.634111111111107</v>
      </c>
      <c r="G74" s="165" cm="1">
        <f t="array" ref="G74">IF(Table3D.2_DailyTTS_PA[[#This Row],[Year]]=Closeout,DelayTot_27PA,DelayTot_27PA+(DelayTotChange_PA*(Table3D.2_DailyTTS_PA[[#This Row],[Year]]-2027)))</f>
        <v>611.30852851851864</v>
      </c>
      <c r="H74" s="166" cm="1">
        <f t="array" ref="H74">IF(Table3D.2_DailyTTS_PA[[#This Row],[Year]]=Closeout,AvgDelay_27PA,AvgDelay_27PA+(DelayChange_PA*(Table3D.2_DailyTTS_PA[[#This Row],[Year]]-2027)))</f>
        <v>9.3727829928850499E-3</v>
      </c>
    </row>
    <row r="75" spans="2:8">
      <c r="B75" s="123">
        <f>First_Year+'Appendix B. Project Info'!B44</f>
        <v>2047</v>
      </c>
      <c r="C75" s="173" cm="1">
        <f t="array" ref="C75">IF(Table3D.2_DailyTTS_PA[[#This Row],[Year]]=Closeout,Traffic_27PA,Traffic_27PA+(TrafChange_PA*(Table3D.2_DailyTTS_PA[[#This Row],[Year]]-2027)))</f>
        <v>62917.333333333336</v>
      </c>
      <c r="D75" s="165" cm="1">
        <f t="array" ref="D75">IF(Table3D.2_DailyTTS_PA[[#This Row],[Year]]=Closeout,VMT_27PA,VMT_27PA+(VMTChange_PA*(Table3D.2_DailyTTS_PA[[#This Row],[Year]]-2027)))</f>
        <v>44000.763333333336</v>
      </c>
      <c r="E75" s="165" cm="1">
        <f t="array" ref="E75">IF(Table3D.2_DailyTTS_PA[[#This Row],[Year]]=Closeout,VHT_27PA,VHT_27PA+(VHTChange_PA*(Table3D.2_DailyTTS_PA[[#This Row],[Year]]-2027)))</f>
        <v>1752.8972648148147</v>
      </c>
      <c r="F75" s="165" cm="1">
        <f t="array" ref="F75">IF(Table3D.2_DailyTTS_PA[[#This Row],[Year]]=Closeout,MPH_27PA,MPH_27PA+(MPHChange_PA*(Table3D.2_DailyTTS_PA[[#This Row],[Year]]-2027)))</f>
        <v>25.620888888888885</v>
      </c>
      <c r="G75" s="165" cm="1">
        <f t="array" ref="G75">IF(Table3D.2_DailyTTS_PA[[#This Row],[Year]]=Closeout,DelayTot_27PA,DelayTot_27PA+(DelayTotChange_PA*(Table3D.2_DailyTTS_PA[[#This Row],[Year]]-2027)))</f>
        <v>613.84773148148156</v>
      </c>
      <c r="H75" s="166" cm="1">
        <f t="array" ref="H75">IF(Table3D.2_DailyTTS_PA[[#This Row],[Year]]=Closeout,AvgDelay_27PA,AvgDelay_27PA+(DelayChange_PA*(Table3D.2_DailyTTS_PA[[#This Row],[Year]]-2027)))</f>
        <v>9.390652772100095E-3</v>
      </c>
    </row>
    <row r="76" spans="2:8">
      <c r="B76" s="123">
        <f>First_Year+'Appendix B. Project Info'!B45</f>
        <v>2048</v>
      </c>
      <c r="C76" s="173" cm="1">
        <f t="array" ref="C76">IF(Table3D.2_DailyTTS_PA[[#This Row],[Year]]=Closeout,Traffic_27PA,Traffic_27PA+(TrafChange_PA*(Table3D.2_DailyTTS_PA[[#This Row],[Year]]-2027)))</f>
        <v>63070.6</v>
      </c>
      <c r="D76" s="165" cm="1">
        <f t="array" ref="D76">IF(Table3D.2_DailyTTS_PA[[#This Row],[Year]]=Closeout,VMT_27PA,VMT_27PA+(VMTChange_PA*(Table3D.2_DailyTTS_PA[[#This Row],[Year]]-2027)))</f>
        <v>44107.957999999999</v>
      </c>
      <c r="E76" s="165" cm="1">
        <f t="array" ref="E76">IF(Table3D.2_DailyTTS_PA[[#This Row],[Year]]=Closeout,VHT_27PA,VHT_27PA+(VHTChange_PA*(Table3D.2_DailyTTS_PA[[#This Row],[Year]]-2027)))</f>
        <v>1758.2168377777775</v>
      </c>
      <c r="F76" s="165" cm="1">
        <f t="array" ref="F76">IF(Table3D.2_DailyTTS_PA[[#This Row],[Year]]=Closeout,MPH_27PA,MPH_27PA+(MPHChange_PA*(Table3D.2_DailyTTS_PA[[#This Row],[Year]]-2027)))</f>
        <v>25.607666666666663</v>
      </c>
      <c r="G76" s="165" cm="1">
        <f t="array" ref="G76">IF(Table3D.2_DailyTTS_PA[[#This Row],[Year]]=Closeout,DelayTot_27PA,DelayTot_27PA+(DelayTotChange_PA*(Table3D.2_DailyTTS_PA[[#This Row],[Year]]-2027)))</f>
        <v>616.38693444444448</v>
      </c>
      <c r="H76" s="166" cm="1">
        <f t="array" ref="H76">IF(Table3D.2_DailyTTS_PA[[#This Row],[Year]]=Closeout,AvgDelay_27PA,AvgDelay_27PA+(DelayChange_PA*(Table3D.2_DailyTTS_PA[[#This Row],[Year]]-2027)))</f>
        <v>9.4085225513151401E-3</v>
      </c>
    </row>
    <row r="77" spans="2:8">
      <c r="B77" s="123">
        <f>First_Year+'Appendix B. Project Info'!B46</f>
        <v>2049</v>
      </c>
      <c r="C77" s="173" cm="1">
        <f t="array" ref="C77">IF(Table3D.2_DailyTTS_PA[[#This Row],[Year]]=Closeout,Traffic_27PA,Traffic_27PA+(TrafChange_PA*(Table3D.2_DailyTTS_PA[[#This Row],[Year]]-2027)))</f>
        <v>63223.866666666669</v>
      </c>
      <c r="D77" s="165" cm="1">
        <f t="array" ref="D77">IF(Table3D.2_DailyTTS_PA[[#This Row],[Year]]=Closeout,VMT_27PA,VMT_27PA+(VMTChange_PA*(Table3D.2_DailyTTS_PA[[#This Row],[Year]]-2027)))</f>
        <v>44215.152666666669</v>
      </c>
      <c r="E77" s="165" cm="1">
        <f t="array" ref="E77">IF(Table3D.2_DailyTTS_PA[[#This Row],[Year]]=Closeout,VHT_27PA,VHT_27PA+(VHTChange_PA*(Table3D.2_DailyTTS_PA[[#This Row],[Year]]-2027)))</f>
        <v>1763.5364107407406</v>
      </c>
      <c r="F77" s="165" cm="1">
        <f t="array" ref="F77">IF(Table3D.2_DailyTTS_PA[[#This Row],[Year]]=Closeout,MPH_27PA,MPH_27PA+(MPHChange_PA*(Table3D.2_DailyTTS_PA[[#This Row],[Year]]-2027)))</f>
        <v>25.594444444444441</v>
      </c>
      <c r="G77" s="165" cm="1">
        <f t="array" ref="G77">IF(Table3D.2_DailyTTS_PA[[#This Row],[Year]]=Closeout,DelayTot_27PA,DelayTot_27PA+(DelayTotChange_PA*(Table3D.2_DailyTTS_PA[[#This Row],[Year]]-2027)))</f>
        <v>618.92613740740751</v>
      </c>
      <c r="H77" s="166" cm="1">
        <f t="array" ref="H77">IF(Table3D.2_DailyTTS_PA[[#This Row],[Year]]=Closeout,AvgDelay_27PA,AvgDelay_27PA+(DelayChange_PA*(Table3D.2_DailyTTS_PA[[#This Row],[Year]]-2027)))</f>
        <v>9.4263923305301853E-3</v>
      </c>
    </row>
    <row r="78" spans="2:8">
      <c r="B78" s="123">
        <f>First_Year+'Appendix B. Project Info'!B47</f>
        <v>2050</v>
      </c>
      <c r="C78" s="173" cm="1">
        <f t="array" ref="C78">IF(Table3D.2_DailyTTS_PA[[#This Row],[Year]]=Closeout,Traffic_27PA,Traffic_27PA+(TrafChange_PA*(Table3D.2_DailyTTS_PA[[#This Row],[Year]]-2027)))</f>
        <v>63377.133333333331</v>
      </c>
      <c r="D78" s="165" cm="1">
        <f t="array" ref="D78">IF(Table3D.2_DailyTTS_PA[[#This Row],[Year]]=Closeout,VMT_27PA,VMT_27PA+(VMTChange_PA*(Table3D.2_DailyTTS_PA[[#This Row],[Year]]-2027)))</f>
        <v>44322.347333333339</v>
      </c>
      <c r="E78" s="165" cm="1">
        <f t="array" ref="E78">IF(Table3D.2_DailyTTS_PA[[#This Row],[Year]]=Closeout,VHT_27PA,VHT_27PA+(VHTChange_PA*(Table3D.2_DailyTTS_PA[[#This Row],[Year]]-2027)))</f>
        <v>1768.8559837037035</v>
      </c>
      <c r="F78" s="165" cm="1">
        <f t="array" ref="F78">IF(Table3D.2_DailyTTS_PA[[#This Row],[Year]]=Closeout,MPH_27PA,MPH_27PA+(MPHChange_PA*(Table3D.2_DailyTTS_PA[[#This Row],[Year]]-2027)))</f>
        <v>25.58122222222222</v>
      </c>
      <c r="G78" s="165" cm="1">
        <f t="array" ref="G78">IF(Table3D.2_DailyTTS_PA[[#This Row],[Year]]=Closeout,DelayTot_27PA,DelayTot_27PA+(DelayTotChange_PA*(Table3D.2_DailyTTS_PA[[#This Row],[Year]]-2027)))</f>
        <v>621.46534037037043</v>
      </c>
      <c r="H78" s="166" cm="1">
        <f t="array" ref="H78">IF(Table3D.2_DailyTTS_PA[[#This Row],[Year]]=Closeout,AvgDelay_27PA,AvgDelay_27PA+(DelayChange_PA*(Table3D.2_DailyTTS_PA[[#This Row],[Year]]-2027)))</f>
        <v>9.4442621097452287E-3</v>
      </c>
    </row>
    <row r="79" spans="2:8">
      <c r="B79" s="123">
        <f>First_Year+'Appendix B. Project Info'!B48</f>
        <v>2051</v>
      </c>
      <c r="C79" s="173" cm="1">
        <f t="array" ref="C79">IF(Table3D.2_DailyTTS_PA[[#This Row],[Year]]=Closeout,Traffic_27PA,Traffic_27PA+(TrafChange_PA*(Table3D.2_DailyTTS_PA[[#This Row],[Year]]-2027)))</f>
        <v>63530.400000000001</v>
      </c>
      <c r="D79" s="165" cm="1">
        <f t="array" ref="D79">IF(Table3D.2_DailyTTS_PA[[#This Row],[Year]]=Closeout,VMT_27PA,VMT_27PA+(VMTChange_PA*(Table3D.2_DailyTTS_PA[[#This Row],[Year]]-2027)))</f>
        <v>44429.542000000001</v>
      </c>
      <c r="E79" s="165" cm="1">
        <f t="array" ref="E79">IF(Table3D.2_DailyTTS_PA[[#This Row],[Year]]=Closeout,VHT_27PA,VHT_27PA+(VHTChange_PA*(Table3D.2_DailyTTS_PA[[#This Row],[Year]]-2027)))</f>
        <v>1774.1755566666664</v>
      </c>
      <c r="F79" s="165" cm="1">
        <f t="array" ref="F79">IF(Table3D.2_DailyTTS_PA[[#This Row],[Year]]=Closeout,MPH_27PA,MPH_27PA+(MPHChange_PA*(Table3D.2_DailyTTS_PA[[#This Row],[Year]]-2027)))</f>
        <v>25.567999999999998</v>
      </c>
      <c r="G79" s="165" cm="1">
        <f t="array" ref="G79">IF(Table3D.2_DailyTTS_PA[[#This Row],[Year]]=Closeout,DelayTot_27PA,DelayTot_27PA+(DelayTotChange_PA*(Table3D.2_DailyTTS_PA[[#This Row],[Year]]-2027)))</f>
        <v>624.00454333333346</v>
      </c>
      <c r="H79" s="166" cm="1">
        <f t="array" ref="H79">IF(Table3D.2_DailyTTS_PA[[#This Row],[Year]]=Closeout,AvgDelay_27PA,AvgDelay_27PA+(DelayChange_PA*(Table3D.2_DailyTTS_PA[[#This Row],[Year]]-2027)))</f>
        <v>9.4621318889602738E-3</v>
      </c>
    </row>
    <row r="80" spans="2:8">
      <c r="B80" s="123">
        <f>First_Year+'Appendix B. Project Info'!B49</f>
        <v>2052</v>
      </c>
      <c r="C80" s="173" cm="1">
        <f t="array" ref="C80">IF(Table3D.2_DailyTTS_PA[[#This Row],[Year]]=Closeout,Traffic_27PA,Traffic_27PA+(TrafChange_PA*(Table3D.2_DailyTTS_PA[[#This Row],[Year]]-2027)))</f>
        <v>63683.666666666664</v>
      </c>
      <c r="D80" s="165" cm="1">
        <f t="array" ref="D80">IF(Table3D.2_DailyTTS_PA[[#This Row],[Year]]=Closeout,VMT_27PA,VMT_27PA+(VMTChange_PA*(Table3D.2_DailyTTS_PA[[#This Row],[Year]]-2027)))</f>
        <v>44536.736666666664</v>
      </c>
      <c r="E80" s="165" cm="1">
        <f t="array" ref="E80">IF(Table3D.2_DailyTTS_PA[[#This Row],[Year]]=Closeout,VHT_27PA,VHT_27PA+(VHTChange_PA*(Table3D.2_DailyTTS_PA[[#This Row],[Year]]-2027)))</f>
        <v>1779.4951296296294</v>
      </c>
      <c r="F80" s="165" cm="1">
        <f t="array" ref="F80">IF(Table3D.2_DailyTTS_PA[[#This Row],[Year]]=Closeout,MPH_27PA,MPH_27PA+(MPHChange_PA*(Table3D.2_DailyTTS_PA[[#This Row],[Year]]-2027)))</f>
        <v>25.554777777777776</v>
      </c>
      <c r="G80" s="165" cm="1">
        <f t="array" ref="G80">IF(Table3D.2_DailyTTS_PA[[#This Row],[Year]]=Closeout,DelayTot_27PA,DelayTot_27PA+(DelayTotChange_PA*(Table3D.2_DailyTTS_PA[[#This Row],[Year]]-2027)))</f>
        <v>626.54374629629638</v>
      </c>
      <c r="H80" s="166" cm="1">
        <f t="array" ref="H80">IF(Table3D.2_DailyTTS_PA[[#This Row],[Year]]=Closeout,AvgDelay_27PA,AvgDelay_27PA+(DelayChange_PA*(Table3D.2_DailyTTS_PA[[#This Row],[Year]]-2027)))</f>
        <v>9.4800016681753189E-3</v>
      </c>
    </row>
    <row r="81" spans="2:8">
      <c r="B81" s="123">
        <f>First_Year+'Appendix B. Project Info'!B50</f>
        <v>2053</v>
      </c>
      <c r="C81" s="173" cm="1">
        <f t="array" ref="C81">IF(Table3D.2_DailyTTS_PA[[#This Row],[Year]]=Closeout,Traffic_27PA,Traffic_27PA+(TrafChange_PA*(Table3D.2_DailyTTS_PA[[#This Row],[Year]]-2027)))</f>
        <v>63836.933333333334</v>
      </c>
      <c r="D81" s="165" cm="1">
        <f t="array" ref="D81">IF(Table3D.2_DailyTTS_PA[[#This Row],[Year]]=Closeout,VMT_27PA,VMT_27PA+(VMTChange_PA*(Table3D.2_DailyTTS_PA[[#This Row],[Year]]-2027)))</f>
        <v>44643.931333333334</v>
      </c>
      <c r="E81" s="165" cm="1">
        <f t="array" ref="E81">IF(Table3D.2_DailyTTS_PA[[#This Row],[Year]]=Closeout,VHT_27PA,VHT_27PA+(VHTChange_PA*(Table3D.2_DailyTTS_PA[[#This Row],[Year]]-2027)))</f>
        <v>1784.8147025925923</v>
      </c>
      <c r="F81" s="165" cm="1">
        <f t="array" ref="F81">IF(Table3D.2_DailyTTS_PA[[#This Row],[Year]]=Closeout,MPH_27PA,MPH_27PA+(MPHChange_PA*(Table3D.2_DailyTTS_PA[[#This Row],[Year]]-2027)))</f>
        <v>25.541555555555554</v>
      </c>
      <c r="G81" s="165" cm="1">
        <f t="array" ref="G81">IF(Table3D.2_DailyTTS_PA[[#This Row],[Year]]=Closeout,DelayTot_27PA,DelayTot_27PA+(DelayTotChange_PA*(Table3D.2_DailyTTS_PA[[#This Row],[Year]]-2027)))</f>
        <v>629.08294925925929</v>
      </c>
      <c r="H81" s="166" cm="1">
        <f t="array" ref="H81">IF(Table3D.2_DailyTTS_PA[[#This Row],[Year]]=Closeout,AvgDelay_27PA,AvgDelay_27PA+(DelayChange_PA*(Table3D.2_DailyTTS_PA[[#This Row],[Year]]-2027)))</f>
        <v>9.4978714473903641E-3</v>
      </c>
    </row>
    <row r="82" spans="2:8">
      <c r="B82" s="123">
        <f>First_Year+'Appendix B. Project Info'!B51</f>
        <v>2054</v>
      </c>
      <c r="C82" s="173" cm="1">
        <f t="array" ref="C82">IF(Table3D.2_DailyTTS_PA[[#This Row],[Year]]=Closeout,Traffic_27PA,Traffic_27PA+(TrafChange_PA*(Table3D.2_DailyTTS_PA[[#This Row],[Year]]-2027)))</f>
        <v>63990.2</v>
      </c>
      <c r="D82" s="165" cm="1">
        <f t="array" ref="D82">IF(Table3D.2_DailyTTS_PA[[#This Row],[Year]]=Closeout,VMT_27PA,VMT_27PA+(VMTChange_PA*(Table3D.2_DailyTTS_PA[[#This Row],[Year]]-2027)))</f>
        <v>44751.126000000004</v>
      </c>
      <c r="E82" s="165" cm="1">
        <f t="array" ref="E82">IF(Table3D.2_DailyTTS_PA[[#This Row],[Year]]=Closeout,VHT_27PA,VHT_27PA+(VHTChange_PA*(Table3D.2_DailyTTS_PA[[#This Row],[Year]]-2027)))</f>
        <v>1790.1342755555554</v>
      </c>
      <c r="F82" s="165" cm="1">
        <f t="array" ref="F82">IF(Table3D.2_DailyTTS_PA[[#This Row],[Year]]=Closeout,MPH_27PA,MPH_27PA+(MPHChange_PA*(Table3D.2_DailyTTS_PA[[#This Row],[Year]]-2027)))</f>
        <v>25.528333333333329</v>
      </c>
      <c r="G82" s="165" cm="1">
        <f t="array" ref="G82">IF(Table3D.2_DailyTTS_PA[[#This Row],[Year]]=Closeout,DelayTot_27PA,DelayTot_27PA+(DelayTotChange_PA*(Table3D.2_DailyTTS_PA[[#This Row],[Year]]-2027)))</f>
        <v>631.62215222222233</v>
      </c>
      <c r="H82" s="166" cm="1">
        <f t="array" ref="H82">IF(Table3D.2_DailyTTS_PA[[#This Row],[Year]]=Closeout,AvgDelay_27PA,AvgDelay_27PA+(DelayChange_PA*(Table3D.2_DailyTTS_PA[[#This Row],[Year]]-2027)))</f>
        <v>9.5157412266054092E-3</v>
      </c>
    </row>
    <row r="83" spans="2:8">
      <c r="B83" s="123">
        <f>First_Year+'Appendix B. Project Info'!B52</f>
        <v>2055</v>
      </c>
      <c r="C83" s="173" cm="1">
        <f t="array" ref="C83">IF(Table3D.2_DailyTTS_PA[[#This Row],[Year]]=Closeout,Traffic_27PA,Traffic_27PA+(TrafChange_PA*(Table3D.2_DailyTTS_PA[[#This Row],[Year]]-2027)))</f>
        <v>64143.466666666667</v>
      </c>
      <c r="D83" s="165" cm="1">
        <f t="array" ref="D83">IF(Table3D.2_DailyTTS_PA[[#This Row],[Year]]=Closeout,VMT_27PA,VMT_27PA+(VMTChange_PA*(Table3D.2_DailyTTS_PA[[#This Row],[Year]]-2027)))</f>
        <v>44858.320666666667</v>
      </c>
      <c r="E83" s="165" cm="1">
        <f t="array" ref="E83">IF(Table3D.2_DailyTTS_PA[[#This Row],[Year]]=Closeout,VHT_27PA,VHT_27PA+(VHTChange_PA*(Table3D.2_DailyTTS_PA[[#This Row],[Year]]-2027)))</f>
        <v>1795.4538485185183</v>
      </c>
      <c r="F83" s="165" cm="1">
        <f t="array" ref="F83">IF(Table3D.2_DailyTTS_PA[[#This Row],[Year]]=Closeout,MPH_27PA,MPH_27PA+(MPHChange_PA*(Table3D.2_DailyTTS_PA[[#This Row],[Year]]-2027)))</f>
        <v>25.515111111111107</v>
      </c>
      <c r="G83" s="165" cm="1">
        <f t="array" ref="G83">IF(Table3D.2_DailyTTS_PA[[#This Row],[Year]]=Closeout,DelayTot_27PA,DelayTot_27PA+(DelayTotChange_PA*(Table3D.2_DailyTTS_PA[[#This Row],[Year]]-2027)))</f>
        <v>634.16135518518524</v>
      </c>
      <c r="H83" s="166" cm="1">
        <f t="array" ref="H83">IF(Table3D.2_DailyTTS_PA[[#This Row],[Year]]=Closeout,AvgDelay_27PA,AvgDelay_27PA+(DelayChange_PA*(Table3D.2_DailyTTS_PA[[#This Row],[Year]]-2027)))</f>
        <v>9.5336110058204526E-3</v>
      </c>
    </row>
    <row r="84" spans="2:8">
      <c r="B84" s="123">
        <f>First_Year+'Appendix B. Project Info'!B53</f>
        <v>2056</v>
      </c>
      <c r="C84" s="173" cm="1">
        <f t="array" ref="C84">IF(Table3D.2_DailyTTS_PA[[#This Row],[Year]]=Closeout,Traffic_27PA,Traffic_27PA+(TrafChange_PA*(Table3D.2_DailyTTS_PA[[#This Row],[Year]]-2027)))</f>
        <v>64296.733333333337</v>
      </c>
      <c r="D84" s="165" cm="1">
        <f t="array" ref="D84">IF(Table3D.2_DailyTTS_PA[[#This Row],[Year]]=Closeout,VMT_27PA,VMT_27PA+(VMTChange_PA*(Table3D.2_DailyTTS_PA[[#This Row],[Year]]-2027)))</f>
        <v>44965.515333333329</v>
      </c>
      <c r="E84" s="165" cm="1">
        <f t="array" ref="E84">IF(Table3D.2_DailyTTS_PA[[#This Row],[Year]]=Closeout,VHT_27PA,VHT_27PA+(VHTChange_PA*(Table3D.2_DailyTTS_PA[[#This Row],[Year]]-2027)))</f>
        <v>1800.7734214814814</v>
      </c>
      <c r="F84" s="165" cm="1">
        <f t="array" ref="F84">IF(Table3D.2_DailyTTS_PA[[#This Row],[Year]]=Closeout,MPH_27PA,MPH_27PA+(MPHChange_PA*(Table3D.2_DailyTTS_PA[[#This Row],[Year]]-2027)))</f>
        <v>25.501888888888885</v>
      </c>
      <c r="G84" s="165" cm="1">
        <f t="array" ref="G84">IF(Table3D.2_DailyTTS_PA[[#This Row],[Year]]=Closeout,DelayTot_27PA,DelayTot_27PA+(DelayTotChange_PA*(Table3D.2_DailyTTS_PA[[#This Row],[Year]]-2027)))</f>
        <v>636.70055814814827</v>
      </c>
      <c r="H84" s="166" cm="1">
        <f t="array" ref="H84">IF(Table3D.2_DailyTTS_PA[[#This Row],[Year]]=Closeout,AvgDelay_27PA,AvgDelay_27PA+(DelayChange_PA*(Table3D.2_DailyTTS_PA[[#This Row],[Year]]-2027)))</f>
        <v>9.5514807850354978E-3</v>
      </c>
    </row>
    <row r="85" spans="2:8">
      <c r="B85" s="123">
        <f>First_Year+'Appendix B. Project Info'!B54</f>
        <v>2057</v>
      </c>
      <c r="C85" s="173" cm="1">
        <f t="array" ref="C85">IF(Table3D.2_DailyTTS_PA[[#This Row],[Year]]=Closeout,Traffic_27PA,Traffic_27PA+(TrafChange_PA*(Table3D.2_DailyTTS_PA[[#This Row],[Year]]-2027)))</f>
        <v>64450</v>
      </c>
      <c r="D85" s="165" cm="1">
        <f t="array" ref="D85">IF(Table3D.2_DailyTTS_PA[[#This Row],[Year]]=Closeout,VMT_27PA,VMT_27PA+(VMTChange_PA*(Table3D.2_DailyTTS_PA[[#This Row],[Year]]-2027)))</f>
        <v>45072.71</v>
      </c>
      <c r="E85" s="165" cm="1">
        <f t="array" ref="E85">IF(Table3D.2_DailyTTS_PA[[#This Row],[Year]]=Closeout,VHT_27PA,VHT_27PA+(VHTChange_PA*(Table3D.2_DailyTTS_PA[[#This Row],[Year]]-2027)))</f>
        <v>1806.0929944444442</v>
      </c>
      <c r="F85" s="165" cm="1">
        <f t="array" ref="F85">IF(Table3D.2_DailyTTS_PA[[#This Row],[Year]]=Closeout,MPH_27PA,MPH_27PA+(MPHChange_PA*(Table3D.2_DailyTTS_PA[[#This Row],[Year]]-2027)))</f>
        <v>25.488666666666663</v>
      </c>
      <c r="G85" s="165" cm="1">
        <f t="array" ref="G85">IF(Table3D.2_DailyTTS_PA[[#This Row],[Year]]=Closeout,DelayTot_27PA,DelayTot_27PA+(DelayTotChange_PA*(Table3D.2_DailyTTS_PA[[#This Row],[Year]]-2027)))</f>
        <v>639.23976111111119</v>
      </c>
      <c r="H85" s="166" cm="1">
        <f t="array" ref="H85">IF(Table3D.2_DailyTTS_PA[[#This Row],[Year]]=Closeout,AvgDelay_27PA,AvgDelay_27PA+(DelayChange_PA*(Table3D.2_DailyTTS_PA[[#This Row],[Year]]-2027)))</f>
        <v>9.5693505642505429E-3</v>
      </c>
    </row>
    <row r="86" spans="2:8">
      <c r="B86" s="123">
        <f>First_Year+'Appendix B. Project Info'!B55</f>
        <v>2058</v>
      </c>
      <c r="C86" s="173" cm="1">
        <f t="array" ref="C86">IF(Table3D.2_DailyTTS_PA[[#This Row],[Year]]=Closeout,Traffic_27PA,Traffic_27PA+(TrafChange_PA*(Table3D.2_DailyTTS_PA[[#This Row],[Year]]-2027)))</f>
        <v>64603.26666666667</v>
      </c>
      <c r="D86" s="165" cm="1">
        <f t="array" ref="D86">IF(Table3D.2_DailyTTS_PA[[#This Row],[Year]]=Closeout,VMT_27PA,VMT_27PA+(VMTChange_PA*(Table3D.2_DailyTTS_PA[[#This Row],[Year]]-2027)))</f>
        <v>45179.904666666669</v>
      </c>
      <c r="E86" s="165" cm="1">
        <f t="array" ref="E86">IF(Table3D.2_DailyTTS_PA[[#This Row],[Year]]=Closeout,VHT_27PA,VHT_27PA+(VHTChange_PA*(Table3D.2_DailyTTS_PA[[#This Row],[Year]]-2027)))</f>
        <v>1811.4125674074071</v>
      </c>
      <c r="F86" s="165" cm="1">
        <f t="array" ref="F86">IF(Table3D.2_DailyTTS_PA[[#This Row],[Year]]=Closeout,MPH_27PA,MPH_27PA+(MPHChange_PA*(Table3D.2_DailyTTS_PA[[#This Row],[Year]]-2027)))</f>
        <v>25.475444444444442</v>
      </c>
      <c r="G86" s="165" cm="1">
        <f t="array" ref="G86">IF(Table3D.2_DailyTTS_PA[[#This Row],[Year]]=Closeout,DelayTot_27PA,DelayTot_27PA+(DelayTotChange_PA*(Table3D.2_DailyTTS_PA[[#This Row],[Year]]-2027)))</f>
        <v>641.77896407407411</v>
      </c>
      <c r="H86" s="166" cm="1">
        <f t="array" ref="H86">IF(Table3D.2_DailyTTS_PA[[#This Row],[Year]]=Closeout,AvgDelay_27PA,AvgDelay_27PA+(DelayChange_PA*(Table3D.2_DailyTTS_PA[[#This Row],[Year]]-2027)))</f>
        <v>9.587220343465588E-3</v>
      </c>
    </row>
    <row r="87" spans="2:8">
      <c r="B87" s="81" t="s">
        <v>127</v>
      </c>
      <c r="C87" s="175">
        <f>SUBTOTAL(101,Table3D.2_DailyTTS_PA[Total Traffic in Network (Veh/Day)])</f>
        <v>61916.842592592584</v>
      </c>
      <c r="D87" s="154">
        <f>SUBTOTAL(101,Table3D.2_DailyTTS_PA[Vehicle Miles Traveled (VMT/Day)])</f>
        <v>43301.020370370374</v>
      </c>
      <c r="E87" s="154">
        <f>SUBTOTAL(101,Table3D.2_DailyTTS_PA[Vehicle Hours Traveled (VHT/Day)])</f>
        <v>1718.1722746399178</v>
      </c>
      <c r="F87" s="154">
        <f>SUBTOTAL(101,Table3D.2_DailyTTS_PA[Average Speed (MPH)])</f>
        <v>25.707200617283942</v>
      </c>
      <c r="G87" s="154">
        <f>SUBTOTAL(101,Table3D.2_DailyTTS_PA[Total Delay (hrs/day)])</f>
        <v>597.27237880658447</v>
      </c>
      <c r="H87" s="174">
        <f>SUBTOTAL(101,Table3D.2_DailyTTS_PA[Average Delay (Hrs/Veh/Day)])</f>
        <v>9.2740028244463306E-3</v>
      </c>
    </row>
    <row r="89" spans="2:8">
      <c r="B89" s="71" t="s">
        <v>217</v>
      </c>
    </row>
    <row r="91" spans="2:8" ht="25.5">
      <c r="B91" s="134" t="s">
        <v>19</v>
      </c>
      <c r="C91" s="123" t="s">
        <v>218</v>
      </c>
      <c r="D91" s="123" t="s">
        <v>219</v>
      </c>
      <c r="E91" s="123" t="s">
        <v>220</v>
      </c>
      <c r="F91" s="123" t="s">
        <v>221</v>
      </c>
      <c r="G91" s="134" t="s">
        <v>222</v>
      </c>
      <c r="H91" s="134" t="s">
        <v>223</v>
      </c>
    </row>
    <row r="92" spans="2:8">
      <c r="B92" s="149">
        <f>First_Year+'Appendix B. Project Info'!B20</f>
        <v>2023</v>
      </c>
      <c r="C92" s="153" t="str">
        <f>IF(Table3D.3_TTSMoneySum[[#This Row],[Year]]&gt;Closeout,((G10-G51)*0.94),"")</f>
        <v/>
      </c>
      <c r="D92" s="153" t="str">
        <f>IF(Table3D.3_TTSMoneySum[[#This Row],[Year]]&gt;Closeout,((G10-G51)*0.06),"")</f>
        <v/>
      </c>
      <c r="E92" s="125" t="str">
        <f>IFERROR((Table3D.3_TTSMoneySum[[#This Row],[Car Delay Savings (Hrs/Day)]]*All_Purpose_Travel*Passenger_Vehicles_Occupancy),"")</f>
        <v/>
      </c>
      <c r="F92" s="125" t="str">
        <f>IFERROR((Table3D.3_TTSMoneySum[[#This Row],[Truck Delay Savings (Hrs/Day)]]*Truck_Travel),"")</f>
        <v/>
      </c>
      <c r="G92" s="218">
        <f>SUM(Table3D.3_TTSMoneySum[[#This Row],[Car Savings Benefits ($/Day)]:[Truck Savings Benefits ($/Day)]])*270</f>
        <v>0</v>
      </c>
      <c r="H92" s="218">
        <f>SUM(Table3D.3_TTSMoneySum[[#This Row],[Car Savings Benefits ($/Day)]:[Truck Savings Benefits ($/Day)]])*365</f>
        <v>0</v>
      </c>
    </row>
    <row r="93" spans="2:8">
      <c r="B93" s="149">
        <f t="shared" ref="B93:B96" si="0">B92+1</f>
        <v>2024</v>
      </c>
      <c r="C93" s="153" t="str">
        <f>IF(Table3D.3_TTSMoneySum[[#This Row],[Year]]&gt;Closeout,((G11-G52)*0.94),"")</f>
        <v/>
      </c>
      <c r="D93" s="153" t="str">
        <f>IF(Table3D.3_TTSMoneySum[[#This Row],[Year]]&gt;Closeout,((G11-G52)*0.06),"")</f>
        <v/>
      </c>
      <c r="E93" s="125" t="str">
        <f>IFERROR((Table3D.3_TTSMoneySum[[#This Row],[Car Delay Savings (Hrs/Day)]]*All_Purpose_Travel*Passenger_Vehicles_Occupancy),"")</f>
        <v/>
      </c>
      <c r="F93" s="125" t="str">
        <f>IFERROR((Table3D.3_TTSMoneySum[[#This Row],[Truck Delay Savings (Hrs/Day)]]*Truck_Travel),"")</f>
        <v/>
      </c>
      <c r="G93" s="218">
        <f>SUM(Table3D.3_TTSMoneySum[[#This Row],[Car Savings Benefits ($/Day)]:[Truck Savings Benefits ($/Day)]])*270</f>
        <v>0</v>
      </c>
      <c r="H93" s="218">
        <f>SUM(Table3D.3_TTSMoneySum[[#This Row],[Car Savings Benefits ($/Day)]:[Truck Savings Benefits ($/Day)]])*365</f>
        <v>0</v>
      </c>
    </row>
    <row r="94" spans="2:8">
      <c r="B94" s="149">
        <f t="shared" si="0"/>
        <v>2025</v>
      </c>
      <c r="C94" s="153" t="str">
        <f>IF(Table3D.3_TTSMoneySum[[#This Row],[Year]]&gt;Closeout,((G12-G53)*0.94),"")</f>
        <v/>
      </c>
      <c r="D94" s="153" t="str">
        <f>IF(Table3D.3_TTSMoneySum[[#This Row],[Year]]&gt;Closeout,((G12-G53)*0.06),"")</f>
        <v/>
      </c>
      <c r="E94" s="125" t="str">
        <f>IFERROR((Table3D.3_TTSMoneySum[[#This Row],[Car Delay Savings (Hrs/Day)]]*All_Purpose_Travel*Passenger_Vehicles_Occupancy),"")</f>
        <v/>
      </c>
      <c r="F94" s="125" t="str">
        <f>IFERROR((Table3D.3_TTSMoneySum[[#This Row],[Truck Delay Savings (Hrs/Day)]]*Truck_Travel),"")</f>
        <v/>
      </c>
      <c r="G94" s="218">
        <f>SUM(Table3D.3_TTSMoneySum[[#This Row],[Car Savings Benefits ($/Day)]:[Truck Savings Benefits ($/Day)]])*270</f>
        <v>0</v>
      </c>
      <c r="H94" s="218">
        <f>SUM(Table3D.3_TTSMoneySum[[#This Row],[Car Savings Benefits ($/Day)]:[Truck Savings Benefits ($/Day)]])*365</f>
        <v>0</v>
      </c>
    </row>
    <row r="95" spans="2:8">
      <c r="B95" s="149">
        <f t="shared" si="0"/>
        <v>2026</v>
      </c>
      <c r="C95" s="153" t="str">
        <f>IF(Table3D.3_TTSMoneySum[[#This Row],[Year]]&gt;Closeout,((G13-G54)*0.94),"")</f>
        <v/>
      </c>
      <c r="D95" s="153" t="str">
        <f>IF(Table3D.3_TTSMoneySum[[#This Row],[Year]]&gt;Closeout,((G13-G54)*0.06),"")</f>
        <v/>
      </c>
      <c r="E95" s="125" t="str">
        <f>IFERROR((Table3D.3_TTSMoneySum[[#This Row],[Car Delay Savings (Hrs/Day)]]*All_Purpose_Travel*Passenger_Vehicles_Occupancy),"")</f>
        <v/>
      </c>
      <c r="F95" s="125" t="str">
        <f>IFERROR((Table3D.3_TTSMoneySum[[#This Row],[Truck Delay Savings (Hrs/Day)]]*Truck_Travel),"")</f>
        <v/>
      </c>
      <c r="G95" s="218">
        <f>SUM(Table3D.3_TTSMoneySum[[#This Row],[Car Savings Benefits ($/Day)]:[Truck Savings Benefits ($/Day)]])*270</f>
        <v>0</v>
      </c>
      <c r="H95" s="218">
        <f>SUM(Table3D.3_TTSMoneySum[[#This Row],[Car Savings Benefits ($/Day)]:[Truck Savings Benefits ($/Day)]])*365</f>
        <v>0</v>
      </c>
    </row>
    <row r="96" spans="2:8">
      <c r="B96" s="149">
        <f t="shared" si="0"/>
        <v>2027</v>
      </c>
      <c r="C96" s="153" t="str">
        <f>IF(Table3D.3_TTSMoneySum[[#This Row],[Year]]&gt;Closeout,((G14-G55)*0.94),"")</f>
        <v/>
      </c>
      <c r="D96" s="153" t="str">
        <f>IF(Table3D.3_TTSMoneySum[[#This Row],[Year]]&gt;Closeout,((G14-G55)*0.06),"")</f>
        <v/>
      </c>
      <c r="E96" s="125" t="str">
        <f>IFERROR((Table3D.3_TTSMoneySum[[#This Row],[Car Delay Savings (Hrs/Day)]]*All_Purpose_Travel*Passenger_Vehicles_Occupancy),"")</f>
        <v/>
      </c>
      <c r="F96" s="125" t="str">
        <f>IFERROR((Table3D.3_TTSMoneySum[[#This Row],[Truck Delay Savings (Hrs/Day)]]*Truck_Travel),"")</f>
        <v/>
      </c>
      <c r="G96" s="218">
        <f>SUM(Table3D.3_TTSMoneySum[[#This Row],[Car Savings Benefits ($/Day)]:[Truck Savings Benefits ($/Day)]])*270</f>
        <v>0</v>
      </c>
      <c r="H96" s="218">
        <f>SUM(Table3D.3_TTSMoneySum[[#This Row],[Car Savings Benefits ($/Day)]:[Truck Savings Benefits ($/Day)]])*365</f>
        <v>0</v>
      </c>
    </row>
    <row r="97" spans="2:8">
      <c r="B97" s="149">
        <f>Closeout</f>
        <v>2028</v>
      </c>
      <c r="C97" s="153" t="str">
        <f>IF(Table3D.3_TTSMoneySum[[#This Row],[Year]]&gt;Closeout,((G15-G56)*0.94),"")</f>
        <v/>
      </c>
      <c r="D97" s="153" t="str">
        <f>IF(Table3D.3_TTSMoneySum[[#This Row],[Year]]&gt;Closeout,((G15-G56)*0.06),"")</f>
        <v/>
      </c>
      <c r="E97" s="176" t="str">
        <f>IFERROR((Table3D.3_TTSMoneySum[[#This Row],[Car Delay Savings (Hrs/Day)]]*All_Purpose_Travel*Passenger_Vehicles_Occupancy),"")</f>
        <v/>
      </c>
      <c r="F97" s="176" t="str">
        <f>IFERROR((Table3D.3_TTSMoneySum[[#This Row],[Truck Delay Savings (Hrs/Day)]]*Truck_Travel),"")</f>
        <v/>
      </c>
      <c r="G97" s="176">
        <f>SUM(Table3D.3_TTSMoneySum[[#This Row],[Car Savings Benefits ($/Day)]:[Truck Savings Benefits ($/Day)]])*270</f>
        <v>0</v>
      </c>
      <c r="H97" s="176">
        <f>SUM(Table3D.3_TTSMoneySum[[#This Row],[Car Savings Benefits ($/Day)]:[Truck Savings Benefits ($/Day)]])*365</f>
        <v>0</v>
      </c>
    </row>
    <row r="98" spans="2:8">
      <c r="B98" s="149">
        <f>B97+1</f>
        <v>2029</v>
      </c>
      <c r="C98" s="153">
        <f>IF(Table3D.3_TTSMoneySum[[#This Row],[Year]]&gt;Closeout,((G16-G57)*0.94),"")</f>
        <v>-94.181726718518604</v>
      </c>
      <c r="D98" s="153">
        <f>IF(Table3D.3_TTSMoneySum[[#This Row],[Year]]&gt;Closeout,((G16-G57)*0.06),"")</f>
        <v>-6.0115995777777833</v>
      </c>
      <c r="E98" s="176">
        <f>IFERROR((Table3D.3_TTSMoneySum[[#This Row],[Car Delay Savings (Hrs/Day)]]*All_Purpose_Travel*Passenger_Vehicles_Occupancy),"")</f>
        <v>-2956.9294920546099</v>
      </c>
      <c r="F98" s="176">
        <f>IFERROR((Table3D.3_TTSMoneySum[[#This Row],[Truck Delay Savings (Hrs/Day)]]*Truck_Travel),"")</f>
        <v>-194.77582632000016</v>
      </c>
      <c r="G98" s="176">
        <f>SUM(Table3D.3_TTSMoneySum[[#This Row],[Car Savings Benefits ($/Day)]:[Truck Savings Benefits ($/Day)]])*270</f>
        <v>-850960.43596114474</v>
      </c>
      <c r="H98" s="176">
        <f>SUM(Table3D.3_TTSMoneySum[[#This Row],[Car Savings Benefits ($/Day)]:[Truck Savings Benefits ($/Day)]])*365</f>
        <v>-1150372.4412067328</v>
      </c>
    </row>
    <row r="99" spans="2:8">
      <c r="B99" s="149">
        <f t="shared" ref="B99:B127" si="1">B98+1</f>
        <v>2030</v>
      </c>
      <c r="C99" s="153">
        <f>IF(Table3D.3_TTSMoneySum[[#This Row],[Year]]&gt;Closeout,((G17-G58)*0.94),"")</f>
        <v>-75.997581383333355</v>
      </c>
      <c r="D99" s="153">
        <f>IF(Table3D.3_TTSMoneySum[[#This Row],[Year]]&gt;Closeout,((G17-G58)*0.06),"")</f>
        <v>-4.8509094500000014</v>
      </c>
      <c r="E99" s="176">
        <f>IFERROR((Table3D.3_TTSMoneySum[[#This Row],[Car Delay Savings (Hrs/Day)]]*All_Purpose_Travel*Passenger_Vehicles_Occupancy),"")</f>
        <v>-2386.020065111134</v>
      </c>
      <c r="F99" s="176">
        <f>IFERROR((Table3D.3_TTSMoneySum[[#This Row],[Truck Delay Savings (Hrs/Day)]]*Truck_Travel),"")</f>
        <v>-157.16946618000003</v>
      </c>
      <c r="G99" s="176">
        <f>SUM(Table3D.3_TTSMoneySum[[#This Row],[Car Savings Benefits ($/Day)]:[Truck Savings Benefits ($/Day)]])*270</f>
        <v>-686661.17344860628</v>
      </c>
      <c r="H99" s="176">
        <f>SUM(Table3D.3_TTSMoneySum[[#This Row],[Car Savings Benefits ($/Day)]:[Truck Savings Benefits ($/Day)]])*365</f>
        <v>-928264.17892126401</v>
      </c>
    </row>
    <row r="100" spans="2:8">
      <c r="B100" s="149">
        <f t="shared" si="1"/>
        <v>2031</v>
      </c>
      <c r="C100" s="153">
        <f>IF(Table3D.3_TTSMoneySum[[#This Row],[Year]]&gt;Closeout,((G18-G59)*0.94),"")</f>
        <v>-57.813436048148212</v>
      </c>
      <c r="D100" s="153">
        <f>IF(Table3D.3_TTSMoneySum[[#This Row],[Year]]&gt;Closeout,((G18-G59)*0.06),"")</f>
        <v>-3.6902193222222262</v>
      </c>
      <c r="E100" s="176">
        <f>IFERROR((Table3D.3_TTSMoneySum[[#This Row],[Car Delay Savings (Hrs/Day)]]*All_Purpose_Travel*Passenger_Vehicles_Occupancy),"")</f>
        <v>-1815.1106381676614</v>
      </c>
      <c r="F100" s="176">
        <f>IFERROR((Table3D.3_TTSMoneySum[[#This Row],[Truck Delay Savings (Hrs/Day)]]*Truck_Travel),"")</f>
        <v>-119.56310604000012</v>
      </c>
      <c r="G100" s="176">
        <f>SUM(Table3D.3_TTSMoneySum[[#This Row],[Car Savings Benefits ($/Day)]:[Truck Savings Benefits ($/Day)]])*270</f>
        <v>-522361.91093606857</v>
      </c>
      <c r="H100" s="176">
        <f>SUM(Table3D.3_TTSMoneySum[[#This Row],[Car Savings Benefits ($/Day)]:[Truck Savings Benefits ($/Day)]])*365</f>
        <v>-706155.91663579643</v>
      </c>
    </row>
    <row r="101" spans="2:8">
      <c r="B101" s="149">
        <f t="shared" si="1"/>
        <v>2032</v>
      </c>
      <c r="C101" s="153">
        <f>IF(Table3D.3_TTSMoneySum[[#This Row],[Year]]&gt;Closeout,((G19-G60)*0.94),"")</f>
        <v>-39.629290712962955</v>
      </c>
      <c r="D101" s="153">
        <f>IF(Table3D.3_TTSMoneySum[[#This Row],[Year]]&gt;Closeout,((G19-G60)*0.06),"")</f>
        <v>-2.5295291944444442</v>
      </c>
      <c r="E101" s="176">
        <f>IFERROR((Table3D.3_TTSMoneySum[[#This Row],[Car Delay Savings (Hrs/Day)]]*All_Purpose_Travel*Passenger_Vehicles_Occupancy),"")</f>
        <v>-1244.2012112241848</v>
      </c>
      <c r="F101" s="176">
        <f>IFERROR((Table3D.3_TTSMoneySum[[#This Row],[Truck Delay Savings (Hrs/Day)]]*Truck_Travel),"")</f>
        <v>-81.956745899999987</v>
      </c>
      <c r="G101" s="176">
        <f>SUM(Table3D.3_TTSMoneySum[[#This Row],[Car Savings Benefits ($/Day)]:[Truck Savings Benefits ($/Day)]])*270</f>
        <v>-358062.64842352987</v>
      </c>
      <c r="H101" s="176">
        <f>SUM(Table3D.3_TTSMoneySum[[#This Row],[Car Savings Benefits ($/Day)]:[Truck Savings Benefits ($/Day)]])*365</f>
        <v>-484047.65435032744</v>
      </c>
    </row>
    <row r="102" spans="2:8">
      <c r="B102" s="149">
        <f t="shared" si="1"/>
        <v>2033</v>
      </c>
      <c r="C102" s="153">
        <f>IF(Table3D.3_TTSMoneySum[[#This Row],[Year]]&gt;Closeout,((G20-G61)*0.94),"")</f>
        <v>-21.445145377777816</v>
      </c>
      <c r="D102" s="153">
        <f>IF(Table3D.3_TTSMoneySum[[#This Row],[Year]]&gt;Closeout,((G20-G61)*0.06),"")</f>
        <v>-1.3688390666666692</v>
      </c>
      <c r="E102" s="176">
        <f>IFERROR((Table3D.3_TTSMoneySum[[#This Row],[Car Delay Savings (Hrs/Day)]]*All_Purpose_Travel*Passenger_Vehicles_Occupancy),"")</f>
        <v>-673.29178428071236</v>
      </c>
      <c r="F102" s="176">
        <f>IFERROR((Table3D.3_TTSMoneySum[[#This Row],[Truck Delay Savings (Hrs/Day)]]*Truck_Travel),"")</f>
        <v>-44.35038576000008</v>
      </c>
      <c r="G102" s="176">
        <f>SUM(Table3D.3_TTSMoneySum[[#This Row],[Car Savings Benefits ($/Day)]:[Truck Savings Benefits ($/Day)]])*270</f>
        <v>-193763.38591099237</v>
      </c>
      <c r="H102" s="176">
        <f>SUM(Table3D.3_TTSMoneySum[[#This Row],[Car Savings Benefits ($/Day)]:[Truck Savings Benefits ($/Day)]])*365</f>
        <v>-261939.39206486006</v>
      </c>
    </row>
    <row r="103" spans="2:8">
      <c r="B103" s="149">
        <f t="shared" si="1"/>
        <v>2034</v>
      </c>
      <c r="C103" s="153">
        <f>IF(Table3D.3_TTSMoneySum[[#This Row],[Year]]&gt;Closeout,((G21-G62)*0.94),"")</f>
        <v>-3.2610000425926726</v>
      </c>
      <c r="D103" s="153">
        <f>IF(Table3D.3_TTSMoneySum[[#This Row],[Year]]&gt;Closeout,((G21-G62)*0.06),"")</f>
        <v>-0.20814893888889399</v>
      </c>
      <c r="E103" s="176">
        <f>IFERROR((Table3D.3_TTSMoneySum[[#This Row],[Car Delay Savings (Hrs/Day)]]*All_Purpose_Travel*Passenger_Vehicles_Occupancy),"")</f>
        <v>-102.38235733723954</v>
      </c>
      <c r="F103" s="176">
        <f>IFERROR((Table3D.3_TTSMoneySum[[#This Row],[Truck Delay Savings (Hrs/Day)]]*Truck_Travel),"")</f>
        <v>-6.7440256200001647</v>
      </c>
      <c r="G103" s="176">
        <f>SUM(Table3D.3_TTSMoneySum[[#This Row],[Car Savings Benefits ($/Day)]:[Truck Savings Benefits ($/Day)]])*270</f>
        <v>-29464.123398454718</v>
      </c>
      <c r="H103" s="176">
        <f>SUM(Table3D.3_TTSMoneySum[[#This Row],[Car Savings Benefits ($/Day)]:[Truck Savings Benefits ($/Day)]])*365</f>
        <v>-39831.12977939249</v>
      </c>
    </row>
    <row r="104" spans="2:8">
      <c r="B104" s="149">
        <f t="shared" si="1"/>
        <v>2035</v>
      </c>
      <c r="C104" s="153">
        <f>IF(Table3D.3_TTSMoneySum[[#This Row],[Year]]&gt;Closeout,((G22-G63)*0.94),"")</f>
        <v>14.923145292592578</v>
      </c>
      <c r="D104" s="153">
        <f>IF(Table3D.3_TTSMoneySum[[#This Row],[Year]]&gt;Closeout,((G22-G63)*0.06),"")</f>
        <v>0.95254118888888795</v>
      </c>
      <c r="E104" s="176">
        <f>IFERROR((Table3D.3_TTSMoneySum[[#This Row],[Car Delay Savings (Hrs/Day)]]*All_Purpose_Travel*Passenger_Vehicles_Occupancy),"")</f>
        <v>468.52706960623652</v>
      </c>
      <c r="F104" s="176">
        <f>IFERROR((Table3D.3_TTSMoneySum[[#This Row],[Truck Delay Savings (Hrs/Day)]]*Truck_Travel),"")</f>
        <v>30.862334519999969</v>
      </c>
      <c r="G104" s="176">
        <f>SUM(Table3D.3_TTSMoneySum[[#This Row],[Car Savings Benefits ($/Day)]:[Truck Savings Benefits ($/Day)]])*270</f>
        <v>134835.13911408387</v>
      </c>
      <c r="H104" s="176">
        <f>SUM(Table3D.3_TTSMoneySum[[#This Row],[Car Savings Benefits ($/Day)]:[Truck Savings Benefits ($/Day)]])*365</f>
        <v>182277.13250607633</v>
      </c>
    </row>
    <row r="105" spans="2:8">
      <c r="B105" s="149">
        <f t="shared" si="1"/>
        <v>2036</v>
      </c>
      <c r="C105" s="153">
        <f>IF(Table3D.3_TTSMoneySum[[#This Row],[Year]]&gt;Closeout,((G23-G64)*0.94),"")</f>
        <v>33.107290627777722</v>
      </c>
      <c r="D105" s="153">
        <f>IF(Table3D.3_TTSMoneySum[[#This Row],[Year]]&gt;Closeout,((G23-G64)*0.06),"")</f>
        <v>2.113231316666663</v>
      </c>
      <c r="E105" s="176">
        <f>IFERROR((Table3D.3_TTSMoneySum[[#This Row],[Car Delay Savings (Hrs/Day)]]*All_Purpose_Travel*Passenger_Vehicles_Occupancy),"")</f>
        <v>1039.4364965497093</v>
      </c>
      <c r="F105" s="176">
        <f>IFERROR((Table3D.3_TTSMoneySum[[#This Row],[Truck Delay Savings (Hrs/Day)]]*Truck_Travel),"")</f>
        <v>68.468694659999883</v>
      </c>
      <c r="G105" s="176">
        <f>SUM(Table3D.3_TTSMoneySum[[#This Row],[Car Savings Benefits ($/Day)]:[Truck Savings Benefits ($/Day)]])*270</f>
        <v>299134.40162662149</v>
      </c>
      <c r="H105" s="176">
        <f>SUM(Table3D.3_TTSMoneySum[[#This Row],[Car Savings Benefits ($/Day)]:[Truck Savings Benefits ($/Day)]])*365</f>
        <v>404385.39479154389</v>
      </c>
    </row>
    <row r="106" spans="2:8">
      <c r="B106" s="149">
        <f t="shared" si="1"/>
        <v>2037</v>
      </c>
      <c r="C106" s="153">
        <f>IF(Table3D.3_TTSMoneySum[[#This Row],[Year]]&gt;Closeout,((G24-G65)*0.94),"")</f>
        <v>51.291435962962971</v>
      </c>
      <c r="D106" s="153">
        <f>IF(Table3D.3_TTSMoneySum[[#This Row],[Year]]&gt;Closeout,((G24-G65)*0.06),"")</f>
        <v>3.2739214444444449</v>
      </c>
      <c r="E106" s="176">
        <f>IFERROR((Table3D.3_TTSMoneySum[[#This Row],[Car Delay Savings (Hrs/Day)]]*All_Purpose_Travel*Passenger_Vehicles_Occupancy),"")</f>
        <v>1610.3459234931854</v>
      </c>
      <c r="F106" s="176">
        <f>IFERROR((Table3D.3_TTSMoneySum[[#This Row],[Truck Delay Savings (Hrs/Day)]]*Truck_Travel),"")</f>
        <v>106.0750548</v>
      </c>
      <c r="G106" s="176">
        <f>SUM(Table3D.3_TTSMoneySum[[#This Row],[Car Savings Benefits ($/Day)]:[Truck Savings Benefits ($/Day)]])*270</f>
        <v>463433.66413916007</v>
      </c>
      <c r="H106" s="176">
        <f>SUM(Table3D.3_TTSMoneySum[[#This Row],[Car Savings Benefits ($/Day)]:[Truck Savings Benefits ($/Day)]])*365</f>
        <v>626493.6570770127</v>
      </c>
    </row>
    <row r="107" spans="2:8">
      <c r="B107" s="149">
        <f t="shared" si="1"/>
        <v>2038</v>
      </c>
      <c r="C107" s="153">
        <f>IF(Table3D.3_TTSMoneySum[[#This Row],[Year]]&gt;Closeout,((G25-G66)*0.94),"")</f>
        <v>69.475581298148114</v>
      </c>
      <c r="D107" s="153">
        <f>IF(Table3D.3_TTSMoneySum[[#This Row],[Year]]&gt;Closeout,((G25-G66)*0.06),"")</f>
        <v>4.4346115722222201</v>
      </c>
      <c r="E107" s="176">
        <f>IFERROR((Table3D.3_TTSMoneySum[[#This Row],[Car Delay Savings (Hrs/Day)]]*All_Purpose_Travel*Passenger_Vehicles_Occupancy),"")</f>
        <v>2181.2553504366583</v>
      </c>
      <c r="F107" s="176">
        <f>IFERROR((Table3D.3_TTSMoneySum[[#This Row],[Truck Delay Savings (Hrs/Day)]]*Truck_Travel),"")</f>
        <v>143.68141493999994</v>
      </c>
      <c r="G107" s="176">
        <f>SUM(Table3D.3_TTSMoneySum[[#This Row],[Car Savings Benefits ($/Day)]:[Truck Savings Benefits ($/Day)]])*270</f>
        <v>627732.92665169772</v>
      </c>
      <c r="H107" s="176">
        <f>SUM(Table3D.3_TTSMoneySum[[#This Row],[Car Savings Benefits ($/Day)]:[Truck Savings Benefits ($/Day)]])*365</f>
        <v>848601.91936248017</v>
      </c>
    </row>
    <row r="108" spans="2:8">
      <c r="B108" s="149">
        <f t="shared" si="1"/>
        <v>2039</v>
      </c>
      <c r="C108" s="153">
        <f>IF(Table3D.3_TTSMoneySum[[#This Row],[Year]]&gt;Closeout,((G26-G67)*0.94),"")</f>
        <v>87.659726633333364</v>
      </c>
      <c r="D108" s="153">
        <f>IF(Table3D.3_TTSMoneySum[[#This Row],[Year]]&gt;Closeout,((G26-G67)*0.06),"")</f>
        <v>5.595301700000002</v>
      </c>
      <c r="E108" s="176">
        <f>IFERROR((Table3D.3_TTSMoneySum[[#This Row],[Car Delay Savings (Hrs/Day)]]*All_Purpose_Travel*Passenger_Vehicles_Occupancy),"")</f>
        <v>2752.1647773801342</v>
      </c>
      <c r="F108" s="176">
        <f>IFERROR((Table3D.3_TTSMoneySum[[#This Row],[Truck Delay Savings (Hrs/Day)]]*Truck_Travel),"")</f>
        <v>181.28777508000005</v>
      </c>
      <c r="G108" s="176">
        <f>SUM(Table3D.3_TTSMoneySum[[#This Row],[Car Savings Benefits ($/Day)]:[Truck Savings Benefits ($/Day)]])*270</f>
        <v>792032.18916423619</v>
      </c>
      <c r="H108" s="176">
        <f>SUM(Table3D.3_TTSMoneySum[[#This Row],[Car Savings Benefits ($/Day)]:[Truck Savings Benefits ($/Day)]])*365</f>
        <v>1070710.1816479489</v>
      </c>
    </row>
    <row r="109" spans="2:8">
      <c r="B109" s="149">
        <f t="shared" si="1"/>
        <v>2040</v>
      </c>
      <c r="C109" s="153">
        <f>IF(Table3D.3_TTSMoneySum[[#This Row],[Year]]&gt;Closeout,((G27-G68)*0.94),"")</f>
        <v>105.84387196851851</v>
      </c>
      <c r="D109" s="153">
        <f>IF(Table3D.3_TTSMoneySum[[#This Row],[Year]]&gt;Closeout,((G27-G68)*0.06),"")</f>
        <v>6.7559918277777768</v>
      </c>
      <c r="E109" s="176">
        <f>IFERROR((Table3D.3_TTSMoneySum[[#This Row],[Car Delay Savings (Hrs/Day)]]*All_Purpose_Travel*Passenger_Vehicles_Occupancy),"")</f>
        <v>3323.0742043236073</v>
      </c>
      <c r="F109" s="176">
        <f>IFERROR((Table3D.3_TTSMoneySum[[#This Row],[Truck Delay Savings (Hrs/Day)]]*Truck_Travel),"")</f>
        <v>218.89413521999995</v>
      </c>
      <c r="G109" s="176">
        <f>SUM(Table3D.3_TTSMoneySum[[#This Row],[Car Savings Benefits ($/Day)]:[Truck Savings Benefits ($/Day)]])*270</f>
        <v>956331.45167677396</v>
      </c>
      <c r="H109" s="176">
        <f>SUM(Table3D.3_TTSMoneySum[[#This Row],[Car Savings Benefits ($/Day)]:[Truck Savings Benefits ($/Day)]])*365</f>
        <v>1292818.4439334166</v>
      </c>
    </row>
    <row r="110" spans="2:8">
      <c r="B110" s="149">
        <f t="shared" si="1"/>
        <v>2041</v>
      </c>
      <c r="C110" s="153">
        <f>IF(Table3D.3_TTSMoneySum[[#This Row],[Year]]&gt;Closeout,((G28-G69)*0.94),"")</f>
        <v>124.02801730370365</v>
      </c>
      <c r="D110" s="153">
        <f>IF(Table3D.3_TTSMoneySum[[#This Row],[Year]]&gt;Closeout,((G28-G69)*0.06),"")</f>
        <v>7.9166819555555525</v>
      </c>
      <c r="E110" s="176">
        <f>IFERROR((Table3D.3_TTSMoneySum[[#This Row],[Car Delay Savings (Hrs/Day)]]*All_Purpose_Travel*Passenger_Vehicles_Occupancy),"")</f>
        <v>3893.98363126708</v>
      </c>
      <c r="F110" s="176">
        <f>IFERROR((Table3D.3_TTSMoneySum[[#This Row],[Truck Delay Savings (Hrs/Day)]]*Truck_Travel),"")</f>
        <v>256.50049535999989</v>
      </c>
      <c r="G110" s="176">
        <f>SUM(Table3D.3_TTSMoneySum[[#This Row],[Car Savings Benefits ($/Day)]:[Truck Savings Benefits ($/Day)]])*270</f>
        <v>1120630.7141893115</v>
      </c>
      <c r="H110" s="176">
        <f>SUM(Table3D.3_TTSMoneySum[[#This Row],[Car Savings Benefits ($/Day)]:[Truck Savings Benefits ($/Day)]])*365</f>
        <v>1514926.7062188841</v>
      </c>
    </row>
    <row r="111" spans="2:8">
      <c r="B111" s="149">
        <f t="shared" si="1"/>
        <v>2042</v>
      </c>
      <c r="C111" s="153">
        <f>IF(Table3D.3_TTSMoneySum[[#This Row],[Year]]&gt;Closeout,((G29-G70)*0.94),"")</f>
        <v>142.21216263888891</v>
      </c>
      <c r="D111" s="153">
        <f>IF(Table3D.3_TTSMoneySum[[#This Row],[Year]]&gt;Closeout,((G29-G70)*0.06),"")</f>
        <v>9.0773720833333336</v>
      </c>
      <c r="E111" s="176">
        <f>IFERROR((Table3D.3_TTSMoneySum[[#This Row],[Car Delay Savings (Hrs/Day)]]*All_Purpose_Travel*Passenger_Vehicles_Occupancy),"")</f>
        <v>4464.8930582105559</v>
      </c>
      <c r="F111" s="176">
        <f>IFERROR((Table3D.3_TTSMoneySum[[#This Row],[Truck Delay Savings (Hrs/Day)]]*Truck_Travel),"")</f>
        <v>294.10685549999999</v>
      </c>
      <c r="G111" s="176">
        <f>SUM(Table3D.3_TTSMoneySum[[#This Row],[Car Savings Benefits ($/Day)]:[Truck Savings Benefits ($/Day)]])*270</f>
        <v>1284929.9767018501</v>
      </c>
      <c r="H111" s="176">
        <f>SUM(Table3D.3_TTSMoneySum[[#This Row],[Car Savings Benefits ($/Day)]:[Truck Savings Benefits ($/Day)]])*365</f>
        <v>1737034.968504353</v>
      </c>
    </row>
    <row r="112" spans="2:8">
      <c r="B112" s="149">
        <f t="shared" si="1"/>
        <v>2043</v>
      </c>
      <c r="C112" s="153">
        <f>IF(Table3D.3_TTSMoneySum[[#This Row],[Year]]&gt;Closeout,((G30-G71)*0.94),"")</f>
        <v>160.39630797407403</v>
      </c>
      <c r="D112" s="153">
        <f>IF(Table3D.3_TTSMoneySum[[#This Row],[Year]]&gt;Closeout,((G30-G71)*0.06),"")</f>
        <v>10.23806221111111</v>
      </c>
      <c r="E112" s="176">
        <f>IFERROR((Table3D.3_TTSMoneySum[[#This Row],[Car Delay Savings (Hrs/Day)]]*All_Purpose_Travel*Passenger_Vehicles_Occupancy),"")</f>
        <v>5035.8024851540285</v>
      </c>
      <c r="F112" s="176">
        <f>IFERROR((Table3D.3_TTSMoneySum[[#This Row],[Truck Delay Savings (Hrs/Day)]]*Truck_Travel),"")</f>
        <v>331.71321563999993</v>
      </c>
      <c r="G112" s="176">
        <f>SUM(Table3D.3_TTSMoneySum[[#This Row],[Car Savings Benefits ($/Day)]:[Truck Savings Benefits ($/Day)]])*270</f>
        <v>1449229.2392143877</v>
      </c>
      <c r="H112" s="176">
        <f>SUM(Table3D.3_TTSMoneySum[[#This Row],[Car Savings Benefits ($/Day)]:[Truck Savings Benefits ($/Day)]])*365</f>
        <v>1959143.2307898204</v>
      </c>
    </row>
    <row r="113" spans="2:8">
      <c r="B113" s="149">
        <f t="shared" si="1"/>
        <v>2044</v>
      </c>
      <c r="C113" s="153">
        <f>IF(Table3D.3_TTSMoneySum[[#This Row],[Year]]&gt;Closeout,((G31-G72)*0.94),"")</f>
        <v>178.5804533092593</v>
      </c>
      <c r="D113" s="153">
        <f>IF(Table3D.3_TTSMoneySum[[#This Row],[Year]]&gt;Closeout,((G31-G72)*0.06),"")</f>
        <v>11.398752338888892</v>
      </c>
      <c r="E113" s="176">
        <f>IFERROR((Table3D.3_TTSMoneySum[[#This Row],[Car Delay Savings (Hrs/Day)]]*All_Purpose_Travel*Passenger_Vehicles_Occupancy),"")</f>
        <v>5606.7119120975049</v>
      </c>
      <c r="F113" s="176">
        <f>IFERROR((Table3D.3_TTSMoneySum[[#This Row],[Truck Delay Savings (Hrs/Day)]]*Truck_Travel),"")</f>
        <v>369.31957578000009</v>
      </c>
      <c r="G113" s="176">
        <f>SUM(Table3D.3_TTSMoneySum[[#This Row],[Car Savings Benefits ($/Day)]:[Truck Savings Benefits ($/Day)]])*270</f>
        <v>1613528.5017269263</v>
      </c>
      <c r="H113" s="176">
        <f>SUM(Table3D.3_TTSMoneySum[[#This Row],[Car Savings Benefits ($/Day)]:[Truck Savings Benefits ($/Day)]])*365</f>
        <v>2181251.4930752893</v>
      </c>
    </row>
    <row r="114" spans="2:8">
      <c r="B114" s="149">
        <f t="shared" si="1"/>
        <v>2045</v>
      </c>
      <c r="C114" s="153">
        <f>IF(Table3D.3_TTSMoneySum[[#This Row],[Year]]&gt;Closeout,((G32-G73)*0.94),"")</f>
        <v>196.76459864444445</v>
      </c>
      <c r="D114" s="153">
        <f>IF(Table3D.3_TTSMoneySum[[#This Row],[Year]]&gt;Closeout,((G32-G73)*0.06),"")</f>
        <v>12.559442466666667</v>
      </c>
      <c r="E114" s="176">
        <f>IFERROR((Table3D.3_TTSMoneySum[[#This Row],[Car Delay Savings (Hrs/Day)]]*All_Purpose_Travel*Passenger_Vehicles_Occupancy),"")</f>
        <v>6177.6213390409775</v>
      </c>
      <c r="F114" s="176">
        <f>IFERROR((Table3D.3_TTSMoneySum[[#This Row],[Truck Delay Savings (Hrs/Day)]]*Truck_Travel),"")</f>
        <v>406.92593591999997</v>
      </c>
      <c r="G114" s="176">
        <f>SUM(Table3D.3_TTSMoneySum[[#This Row],[Car Savings Benefits ($/Day)]:[Truck Savings Benefits ($/Day)]])*270</f>
        <v>1777827.7642394637</v>
      </c>
      <c r="H114" s="176">
        <f>SUM(Table3D.3_TTSMoneySum[[#This Row],[Car Savings Benefits ($/Day)]:[Truck Savings Benefits ($/Day)]])*365</f>
        <v>2403359.7553607565</v>
      </c>
    </row>
    <row r="115" spans="2:8">
      <c r="B115" s="149">
        <f t="shared" si="1"/>
        <v>2046</v>
      </c>
      <c r="C115" s="153">
        <f>IF(Table3D.3_TTSMoneySum[[#This Row],[Year]]&gt;Closeout,((G33-G74)*0.94),"")</f>
        <v>214.94874397962957</v>
      </c>
      <c r="D115" s="153">
        <f>IF(Table3D.3_TTSMoneySum[[#This Row],[Year]]&gt;Closeout,((G33-G74)*0.06),"")</f>
        <v>13.720132594444442</v>
      </c>
      <c r="E115" s="176">
        <f>IFERROR((Table3D.3_TTSMoneySum[[#This Row],[Car Delay Savings (Hrs/Day)]]*All_Purpose_Travel*Passenger_Vehicles_Occupancy),"")</f>
        <v>6748.5307659844502</v>
      </c>
      <c r="F115" s="176">
        <f>IFERROR((Table3D.3_TTSMoneySum[[#This Row],[Truck Delay Savings (Hrs/Day)]]*Truck_Travel),"")</f>
        <v>444.53229605999991</v>
      </c>
      <c r="G115" s="176">
        <f>SUM(Table3D.3_TTSMoneySum[[#This Row],[Car Savings Benefits ($/Day)]:[Truck Savings Benefits ($/Day)]])*270</f>
        <v>1942127.0267520014</v>
      </c>
      <c r="H115" s="176">
        <f>SUM(Table3D.3_TTSMoneySum[[#This Row],[Car Savings Benefits ($/Day)]:[Truck Savings Benefits ($/Day)]])*365</f>
        <v>2625468.0176462242</v>
      </c>
    </row>
    <row r="116" spans="2:8">
      <c r="B116" s="149">
        <f t="shared" si="1"/>
        <v>2047</v>
      </c>
      <c r="C116" s="153">
        <f>IF(Table3D.3_TTSMoneySum[[#This Row],[Year]]&gt;Closeout,((G34-G75)*0.94),"")</f>
        <v>233.13288931481483</v>
      </c>
      <c r="D116" s="153">
        <f>IF(Table3D.3_TTSMoneySum[[#This Row],[Year]]&gt;Closeout,((G34-G75)*0.06),"")</f>
        <v>14.880822722222224</v>
      </c>
      <c r="E116" s="176">
        <f>IFERROR((Table3D.3_TTSMoneySum[[#This Row],[Car Delay Savings (Hrs/Day)]]*All_Purpose_Travel*Passenger_Vehicles_Occupancy),"")</f>
        <v>7319.4401929279265</v>
      </c>
      <c r="F116" s="176">
        <f>IFERROR((Table3D.3_TTSMoneySum[[#This Row],[Truck Delay Savings (Hrs/Day)]]*Truck_Travel),"")</f>
        <v>482.13865620000001</v>
      </c>
      <c r="G116" s="176">
        <f>SUM(Table3D.3_TTSMoneySum[[#This Row],[Car Savings Benefits ($/Day)]:[Truck Savings Benefits ($/Day)]])*270</f>
        <v>2106426.2892645402</v>
      </c>
      <c r="H116" s="176">
        <f>SUM(Table3D.3_TTSMoneySum[[#This Row],[Car Savings Benefits ($/Day)]:[Truck Savings Benefits ($/Day)]])*365</f>
        <v>2847576.2799316933</v>
      </c>
    </row>
    <row r="117" spans="2:8">
      <c r="B117" s="149">
        <f t="shared" si="1"/>
        <v>2048</v>
      </c>
      <c r="C117" s="153">
        <f>IF(Table3D.3_TTSMoneySum[[#This Row],[Year]]&gt;Closeout,((G35-G76)*0.94),"")</f>
        <v>251.31703464999998</v>
      </c>
      <c r="D117" s="153">
        <f>IF(Table3D.3_TTSMoneySum[[#This Row],[Year]]&gt;Closeout,((G35-G76)*0.06),"")</f>
        <v>16.04151285</v>
      </c>
      <c r="E117" s="176">
        <f>IFERROR((Table3D.3_TTSMoneySum[[#This Row],[Car Delay Savings (Hrs/Day)]]*All_Purpose_Travel*Passenger_Vehicles_Occupancy),"")</f>
        <v>7890.3496198713992</v>
      </c>
      <c r="F117" s="176">
        <f>IFERROR((Table3D.3_TTSMoneySum[[#This Row],[Truck Delay Savings (Hrs/Day)]]*Truck_Travel),"")</f>
        <v>519.74501634000001</v>
      </c>
      <c r="G117" s="176">
        <f>SUM(Table3D.3_TTSMoneySum[[#This Row],[Car Savings Benefits ($/Day)]:[Truck Savings Benefits ($/Day)]])*270</f>
        <v>2270725.5517770778</v>
      </c>
      <c r="H117" s="176">
        <f>SUM(Table3D.3_TTSMoneySum[[#This Row],[Car Savings Benefits ($/Day)]:[Truck Savings Benefits ($/Day)]])*365</f>
        <v>3069684.5422171606</v>
      </c>
    </row>
    <row r="118" spans="2:8">
      <c r="B118" s="149">
        <f t="shared" si="1"/>
        <v>2049</v>
      </c>
      <c r="C118" s="153">
        <f>IF(Table3D.3_TTSMoneySum[[#This Row],[Year]]&gt;Closeout,((G36-G77)*0.94),"")</f>
        <v>269.50117998518522</v>
      </c>
      <c r="D118" s="153">
        <f>IF(Table3D.3_TTSMoneySum[[#This Row],[Year]]&gt;Closeout,((G36-G77)*0.06),"")</f>
        <v>17.20220297777778</v>
      </c>
      <c r="E118" s="176">
        <f>IFERROR((Table3D.3_TTSMoneySum[[#This Row],[Car Delay Savings (Hrs/Day)]]*All_Purpose_Travel*Passenger_Vehicles_Occupancy),"")</f>
        <v>8461.2590468148755</v>
      </c>
      <c r="F118" s="176">
        <f>IFERROR((Table3D.3_TTSMoneySum[[#This Row],[Truck Delay Savings (Hrs/Day)]]*Truck_Travel),"")</f>
        <v>557.35137648000011</v>
      </c>
      <c r="G118" s="176">
        <f>SUM(Table3D.3_TTSMoneySum[[#This Row],[Car Savings Benefits ($/Day)]:[Truck Savings Benefits ($/Day)]])*270</f>
        <v>2435024.8142896164</v>
      </c>
      <c r="H118" s="176">
        <f>SUM(Table3D.3_TTSMoneySum[[#This Row],[Car Savings Benefits ($/Day)]:[Truck Savings Benefits ($/Day)]])*365</f>
        <v>3291792.8045026297</v>
      </c>
    </row>
    <row r="119" spans="2:8">
      <c r="B119" s="149">
        <f t="shared" si="1"/>
        <v>2050</v>
      </c>
      <c r="C119" s="153">
        <f>IF(Table3D.3_TTSMoneySum[[#This Row],[Year]]&gt;Closeout,((G37-G78)*0.94),"")</f>
        <v>287.68532532037034</v>
      </c>
      <c r="D119" s="153">
        <f>IF(Table3D.3_TTSMoneySum[[#This Row],[Year]]&gt;Closeout,((G37-G78)*0.06),"")</f>
        <v>18.362893105555557</v>
      </c>
      <c r="E119" s="176">
        <f>IFERROR((Table3D.3_TTSMoneySum[[#This Row],[Car Delay Savings (Hrs/Day)]]*All_Purpose_Travel*Passenger_Vehicles_Occupancy),"")</f>
        <v>9032.1684737583473</v>
      </c>
      <c r="F119" s="176">
        <f>IFERROR((Table3D.3_TTSMoneySum[[#This Row],[Truck Delay Savings (Hrs/Day)]]*Truck_Travel),"")</f>
        <v>594.95773661999999</v>
      </c>
      <c r="G119" s="176">
        <f>SUM(Table3D.3_TTSMoneySum[[#This Row],[Car Savings Benefits ($/Day)]:[Truck Savings Benefits ($/Day)]])*270</f>
        <v>2599324.0768021536</v>
      </c>
      <c r="H119" s="176">
        <f>SUM(Table3D.3_TTSMoneySum[[#This Row],[Car Savings Benefits ($/Day)]:[Truck Savings Benefits ($/Day)]])*365</f>
        <v>3513901.0667880964</v>
      </c>
    </row>
    <row r="120" spans="2:8">
      <c r="B120" s="149">
        <f t="shared" si="1"/>
        <v>2051</v>
      </c>
      <c r="C120" s="153">
        <f>IF(Table3D.3_TTSMoneySum[[#This Row],[Year]]&gt;Closeout,((G38-G79)*0.94),"")</f>
        <v>305.86947065555563</v>
      </c>
      <c r="D120" s="153">
        <f>IF(Table3D.3_TTSMoneySum[[#This Row],[Year]]&gt;Closeout,((G38-G79)*0.06),"")</f>
        <v>19.523583233333337</v>
      </c>
      <c r="E120" s="176">
        <f>IFERROR((Table3D.3_TTSMoneySum[[#This Row],[Car Delay Savings (Hrs/Day)]]*All_Purpose_Travel*Passenger_Vehicles_Occupancy),"")</f>
        <v>9603.0779007018245</v>
      </c>
      <c r="F120" s="176">
        <f>IFERROR((Table3D.3_TTSMoneySum[[#This Row],[Truck Delay Savings (Hrs/Day)]]*Truck_Travel),"")</f>
        <v>632.5640967600001</v>
      </c>
      <c r="G120" s="176">
        <f>SUM(Table3D.3_TTSMoneySum[[#This Row],[Car Savings Benefits ($/Day)]:[Truck Savings Benefits ($/Day)]])*270</f>
        <v>2763623.3393146927</v>
      </c>
      <c r="H120" s="176">
        <f>SUM(Table3D.3_TTSMoneySum[[#This Row],[Car Savings Benefits ($/Day)]:[Truck Savings Benefits ($/Day)]])*365</f>
        <v>3736009.3290735655</v>
      </c>
    </row>
    <row r="121" spans="2:8">
      <c r="B121" s="149">
        <f t="shared" si="1"/>
        <v>2052</v>
      </c>
      <c r="C121" s="153">
        <f>IF(Table3D.3_TTSMoneySum[[#This Row],[Year]]&gt;Closeout,((G39-G80)*0.94),"")</f>
        <v>324.05361599074075</v>
      </c>
      <c r="D121" s="153">
        <f>IF(Table3D.3_TTSMoneySum[[#This Row],[Year]]&gt;Closeout,((G39-G80)*0.06),"")</f>
        <v>20.684273361111114</v>
      </c>
      <c r="E121" s="176">
        <f>IFERROR((Table3D.3_TTSMoneySum[[#This Row],[Car Delay Savings (Hrs/Day)]]*All_Purpose_Travel*Passenger_Vehicles_Occupancy),"")</f>
        <v>10173.987327645296</v>
      </c>
      <c r="F121" s="176">
        <f>IFERROR((Table3D.3_TTSMoneySum[[#This Row],[Truck Delay Savings (Hrs/Day)]]*Truck_Travel),"")</f>
        <v>670.17045690000009</v>
      </c>
      <c r="G121" s="176">
        <f>SUM(Table3D.3_TTSMoneySum[[#This Row],[Car Savings Benefits ($/Day)]:[Truck Savings Benefits ($/Day)]])*270</f>
        <v>2927922.6018272298</v>
      </c>
      <c r="H121" s="176">
        <f>SUM(Table3D.3_TTSMoneySum[[#This Row],[Car Savings Benefits ($/Day)]:[Truck Savings Benefits ($/Day)]])*365</f>
        <v>3958117.5913590328</v>
      </c>
    </row>
    <row r="122" spans="2:8">
      <c r="B122" s="149">
        <f t="shared" si="1"/>
        <v>2053</v>
      </c>
      <c r="C122" s="153">
        <f>IF(Table3D.3_TTSMoneySum[[#This Row],[Year]]&gt;Closeout,((G40-G81)*0.94),"")</f>
        <v>342.23776132592587</v>
      </c>
      <c r="D122" s="153">
        <f>IF(Table3D.3_TTSMoneySum[[#This Row],[Year]]&gt;Closeout,((G40-G81)*0.06),"")</f>
        <v>21.844963488888887</v>
      </c>
      <c r="E122" s="176">
        <f>IFERROR((Table3D.3_TTSMoneySum[[#This Row],[Car Delay Savings (Hrs/Day)]]*All_Purpose_Travel*Passenger_Vehicles_Occupancy),"")</f>
        <v>10744.896754588768</v>
      </c>
      <c r="F122" s="176">
        <f>IFERROR((Table3D.3_TTSMoneySum[[#This Row],[Truck Delay Savings (Hrs/Day)]]*Truck_Travel),"")</f>
        <v>707.77681703999986</v>
      </c>
      <c r="G122" s="176">
        <f>SUM(Table3D.3_TTSMoneySum[[#This Row],[Car Savings Benefits ($/Day)]:[Truck Savings Benefits ($/Day)]])*270</f>
        <v>3092221.864339767</v>
      </c>
      <c r="H122" s="176">
        <f>SUM(Table3D.3_TTSMoneySum[[#This Row],[Car Savings Benefits ($/Day)]:[Truck Savings Benefits ($/Day)]])*365</f>
        <v>4180225.8536445</v>
      </c>
    </row>
    <row r="123" spans="2:8">
      <c r="B123" s="149">
        <f t="shared" si="1"/>
        <v>2054</v>
      </c>
      <c r="C123" s="153">
        <f>IF(Table3D.3_TTSMoneySum[[#This Row],[Year]]&gt;Closeout,((G41-G82)*0.94),"")</f>
        <v>360.42190666111117</v>
      </c>
      <c r="D123" s="153">
        <f>IF(Table3D.3_TTSMoneySum[[#This Row],[Year]]&gt;Closeout,((G41-G82)*0.06),"")</f>
        <v>23.00565361666667</v>
      </c>
      <c r="E123" s="176">
        <f>IFERROR((Table3D.3_TTSMoneySum[[#This Row],[Car Delay Savings (Hrs/Day)]]*All_Purpose_Travel*Passenger_Vehicles_Occupancy),"")</f>
        <v>11315.806181532245</v>
      </c>
      <c r="F123" s="176">
        <f>IFERROR((Table3D.3_TTSMoneySum[[#This Row],[Truck Delay Savings (Hrs/Day)]]*Truck_Travel),"")</f>
        <v>745.38317718000008</v>
      </c>
      <c r="G123" s="176">
        <f>SUM(Table3D.3_TTSMoneySum[[#This Row],[Car Savings Benefits ($/Day)]:[Truck Savings Benefits ($/Day)]])*270</f>
        <v>3256521.1268523061</v>
      </c>
      <c r="H123" s="176">
        <f>SUM(Table3D.3_TTSMoneySum[[#This Row],[Car Savings Benefits ($/Day)]:[Truck Savings Benefits ($/Day)]])*365</f>
        <v>4402334.1159299696</v>
      </c>
    </row>
    <row r="124" spans="2:8">
      <c r="B124" s="149">
        <f t="shared" si="1"/>
        <v>2055</v>
      </c>
      <c r="C124" s="153">
        <f>IF(Table3D.3_TTSMoneySum[[#This Row],[Year]]&gt;Closeout,((G42-G83)*0.94),"")</f>
        <v>378.60605199629629</v>
      </c>
      <c r="D124" s="153">
        <f>IF(Table3D.3_TTSMoneySum[[#This Row],[Year]]&gt;Closeout,((G42-G83)*0.06),"")</f>
        <v>24.166343744444443</v>
      </c>
      <c r="E124" s="176">
        <f>IFERROR((Table3D.3_TTSMoneySum[[#This Row],[Car Delay Savings (Hrs/Day)]]*All_Purpose_Travel*Passenger_Vehicles_Occupancy),"")</f>
        <v>11886.715608475719</v>
      </c>
      <c r="F124" s="176">
        <f>IFERROR((Table3D.3_TTSMoneySum[[#This Row],[Truck Delay Savings (Hrs/Day)]]*Truck_Travel),"")</f>
        <v>782.98953731999995</v>
      </c>
      <c r="G124" s="176">
        <f>SUM(Table3D.3_TTSMoneySum[[#This Row],[Car Savings Benefits ($/Day)]:[Truck Savings Benefits ($/Day)]])*270</f>
        <v>3420820.3893648442</v>
      </c>
      <c r="H124" s="176">
        <f>SUM(Table3D.3_TTSMoneySum[[#This Row],[Car Savings Benefits ($/Day)]:[Truck Savings Benefits ($/Day)]])*365</f>
        <v>4624442.3782154378</v>
      </c>
    </row>
    <row r="125" spans="2:8">
      <c r="B125" s="149">
        <f t="shared" si="1"/>
        <v>2056</v>
      </c>
      <c r="C125" s="153">
        <f>IF(Table3D.3_TTSMoneySum[[#This Row],[Year]]&gt;Closeout,((G43-G84)*0.94),"")</f>
        <v>396.79019733148152</v>
      </c>
      <c r="D125" s="153">
        <f>IF(Table3D.3_TTSMoneySum[[#This Row],[Year]]&gt;Closeout,((G43-G84)*0.06),"")</f>
        <v>25.327033872222227</v>
      </c>
      <c r="E125" s="176">
        <f>IFERROR((Table3D.3_TTSMoneySum[[#This Row],[Car Delay Savings (Hrs/Day)]]*All_Purpose_Travel*Passenger_Vehicles_Occupancy),"")</f>
        <v>12457.625035419192</v>
      </c>
      <c r="F125" s="176">
        <f>IFERROR((Table3D.3_TTSMoneySum[[#This Row],[Truck Delay Savings (Hrs/Day)]]*Truck_Travel),"")</f>
        <v>820.59589746000017</v>
      </c>
      <c r="G125" s="176">
        <f>SUM(Table3D.3_TTSMoneySum[[#This Row],[Car Savings Benefits ($/Day)]:[Truck Savings Benefits ($/Day)]])*270</f>
        <v>3585119.6518773818</v>
      </c>
      <c r="H125" s="176">
        <f>SUM(Table3D.3_TTSMoneySum[[#This Row],[Car Savings Benefits ($/Day)]:[Truck Savings Benefits ($/Day)]])*365</f>
        <v>4846550.640500905</v>
      </c>
    </row>
    <row r="126" spans="2:8">
      <c r="B126" s="149">
        <f t="shared" si="1"/>
        <v>2057</v>
      </c>
      <c r="C126" s="153">
        <f>IF(Table3D.3_TTSMoneySum[[#This Row],[Year]]&gt;Closeout,((G44-G85)*0.94),"")</f>
        <v>414.9743426666667</v>
      </c>
      <c r="D126" s="153">
        <f>IF(Table3D.3_TTSMoneySum[[#This Row],[Year]]&gt;Closeout,((G44-G85)*0.06),"")</f>
        <v>26.487724000000004</v>
      </c>
      <c r="E126" s="176">
        <f>IFERROR((Table3D.3_TTSMoneySum[[#This Row],[Car Delay Savings (Hrs/Day)]]*All_Purpose_Travel*Passenger_Vehicles_Occupancy),"")</f>
        <v>13028.534462362668</v>
      </c>
      <c r="F126" s="176">
        <f>IFERROR((Table3D.3_TTSMoneySum[[#This Row],[Truck Delay Savings (Hrs/Day)]]*Truck_Travel),"")</f>
        <v>858.20225760000005</v>
      </c>
      <c r="G126" s="176">
        <f>SUM(Table3D.3_TTSMoneySum[[#This Row],[Car Savings Benefits ($/Day)]:[Truck Savings Benefits ($/Day)]])*270</f>
        <v>3749418.9143899204</v>
      </c>
      <c r="H126" s="176">
        <f>SUM(Table3D.3_TTSMoneySum[[#This Row],[Car Savings Benefits ($/Day)]:[Truck Savings Benefits ($/Day)]])*365</f>
        <v>5068658.9027863741</v>
      </c>
    </row>
    <row r="127" spans="2:8">
      <c r="B127" s="149">
        <f t="shared" si="1"/>
        <v>2058</v>
      </c>
      <c r="C127" s="153">
        <f>IF(Table3D.3_TTSMoneySum[[#This Row],[Year]]&gt;Closeout,((G45-G86)*0.94),"")</f>
        <v>433.15848800185182</v>
      </c>
      <c r="D127" s="153">
        <f>IF(Table3D.3_TTSMoneySum[[#This Row],[Year]]&gt;Closeout,((G45-G86)*0.06),"")</f>
        <v>27.648414127777777</v>
      </c>
      <c r="E127" s="176">
        <f>IFERROR((Table3D.3_TTSMoneySum[[#This Row],[Car Delay Savings (Hrs/Day)]]*All_Purpose_Travel*Passenger_Vehicles_Occupancy),"")</f>
        <v>13599.44388930614</v>
      </c>
      <c r="F127" s="176">
        <f>IFERROR((Table3D.3_TTSMoneySum[[#This Row],[Truck Delay Savings (Hrs/Day)]]*Truck_Travel),"")</f>
        <v>895.80861773999993</v>
      </c>
      <c r="G127" s="176">
        <f>SUM(Table3D.3_TTSMoneySum[[#This Row],[Car Savings Benefits ($/Day)]:[Truck Savings Benefits ($/Day)]])*270</f>
        <v>3913718.1769024576</v>
      </c>
      <c r="H127" s="176">
        <f>SUM(Table3D.3_TTSMoneySum[[#This Row],[Car Savings Benefits ($/Day)]:[Truck Savings Benefits ($/Day)]])*365</f>
        <v>5290767.1650718413</v>
      </c>
    </row>
    <row r="128" spans="2:8">
      <c r="B128" s="149" t="s">
        <v>26</v>
      </c>
      <c r="C128"/>
      <c r="D128"/>
      <c r="E128" s="177">
        <f>SUBTOTAL(109,Table3D.3_TTSMoneySum[Car Savings Benefits ($/Day)])</f>
        <v>159637.71595877298</v>
      </c>
      <c r="F128" s="177">
        <f>SUBTOTAL(109,Table3D.3_TTSMoneySum[Truck Savings Benefits ($/Day)])</f>
        <v>10515.491871299999</v>
      </c>
      <c r="G128" s="177">
        <f>SUBTOTAL(109,Table3D.3_TTSMoneySum[Annual Benefits, Low (270 Days)])</f>
        <v>45941366.114119709</v>
      </c>
      <c r="H128" s="177">
        <f>SUBTOTAL(109,Table3D.3_TTSMoneySum[Annual Benefits, High (365 Days)])</f>
        <v>62105920.85797663</v>
      </c>
    </row>
  </sheetData>
  <mergeCells count="1">
    <mergeCell ref="A1:I1"/>
  </mergeCells>
  <pageMargins left="0.7" right="0.7" top="0.75" bottom="0.75" header="0.3" footer="0.3"/>
  <pageSetup scale="59" fitToHeight="2" orientation="portrait" r:id="rId1"/>
  <rowBreaks count="1" manualBreakCount="1">
    <brk id="87" max="16383" man="1"/>
  </rowBreaks>
  <drawing r:id="rId2"/>
  <tableParts count="3">
    <tablePart r:id="rId3"/>
    <tablePart r:id="rId4"/>
    <tablePart r:id="rId5"/>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pageSetUpPr fitToPage="1"/>
  </sheetPr>
  <dimension ref="A1:L24"/>
  <sheetViews>
    <sheetView topLeftCell="A10" workbookViewId="0">
      <selection activeCell="A8" sqref="A8:C8"/>
    </sheetView>
  </sheetViews>
  <sheetFormatPr defaultColWidth="9.140625" defaultRowHeight="14.25"/>
  <cols>
    <col min="1" max="1" width="30.5703125" style="3" customWidth="1"/>
    <col min="2" max="2" width="34.85546875" style="3" customWidth="1"/>
    <col min="3" max="3" width="21.140625" style="3" customWidth="1"/>
    <col min="4" max="4" width="14.28515625" style="3" customWidth="1"/>
    <col min="5" max="5" width="11.28515625" style="3" customWidth="1"/>
    <col min="6" max="6" width="22.7109375" style="3" customWidth="1"/>
    <col min="7" max="9" width="9.140625" style="3"/>
    <col min="10" max="10" width="27.7109375" style="3" customWidth="1"/>
    <col min="11" max="11" width="15.140625" style="3" customWidth="1"/>
    <col min="12" max="16384" width="9.140625" style="3"/>
  </cols>
  <sheetData>
    <row r="1" spans="1:12">
      <c r="A1" s="449" t="s">
        <v>224</v>
      </c>
      <c r="B1" s="450"/>
      <c r="C1" s="450"/>
      <c r="D1" s="450"/>
      <c r="E1" s="450"/>
      <c r="F1" s="450"/>
      <c r="G1" s="450"/>
      <c r="H1" s="450"/>
      <c r="I1" s="450"/>
      <c r="J1" s="450"/>
      <c r="K1" s="450"/>
      <c r="L1" s="450"/>
    </row>
    <row r="2" spans="1:12">
      <c r="A2" s="5" t="s">
        <v>1</v>
      </c>
      <c r="B2" s="6" t="s">
        <v>225</v>
      </c>
    </row>
    <row r="3" spans="1:12">
      <c r="A3" s="5" t="s">
        <v>3</v>
      </c>
      <c r="B3" s="8">
        <f ca="1">TODAY()</f>
        <v>44985</v>
      </c>
    </row>
    <row r="4" spans="1:12" ht="27" customHeight="1" thickBot="1"/>
    <row r="5" spans="1:12">
      <c r="A5" s="451" t="s">
        <v>226</v>
      </c>
      <c r="B5" s="452"/>
      <c r="C5" s="452"/>
      <c r="D5" s="452"/>
      <c r="E5" s="452"/>
      <c r="F5" s="452"/>
      <c r="G5" s="452"/>
      <c r="H5" s="452"/>
      <c r="I5" s="452"/>
      <c r="J5" s="452"/>
      <c r="K5" s="452"/>
      <c r="L5" s="453"/>
    </row>
    <row r="6" spans="1:12" ht="324" customHeight="1" thickBot="1">
      <c r="A6" s="454"/>
      <c r="B6" s="455"/>
      <c r="C6" s="455"/>
      <c r="D6" s="455"/>
      <c r="E6" s="455"/>
      <c r="F6" s="455"/>
      <c r="G6" s="455"/>
      <c r="H6" s="455"/>
      <c r="I6" s="455"/>
      <c r="J6" s="455"/>
      <c r="K6" s="455"/>
      <c r="L6" s="456"/>
    </row>
    <row r="7" spans="1:12" ht="15" thickBot="1"/>
    <row r="8" spans="1:12" ht="15" thickBot="1">
      <c r="A8" s="457" t="s">
        <v>227</v>
      </c>
      <c r="B8" s="458"/>
      <c r="C8" s="459"/>
      <c r="J8" s="457" t="s">
        <v>228</v>
      </c>
      <c r="K8" s="459"/>
    </row>
    <row r="9" spans="1:12">
      <c r="B9" s="5" t="s">
        <v>229</v>
      </c>
      <c r="C9" s="7">
        <v>0</v>
      </c>
      <c r="J9" s="5" t="s">
        <v>230</v>
      </c>
      <c r="K9" s="1">
        <f>SUMPRODUCT(B15:B20,F15:F20)*C11</f>
        <v>0</v>
      </c>
    </row>
    <row r="10" spans="1:12">
      <c r="B10" s="5" t="s">
        <v>231</v>
      </c>
      <c r="C10" s="7">
        <v>76923</v>
      </c>
      <c r="J10" s="47" t="s">
        <v>232</v>
      </c>
      <c r="K10" s="48">
        <f>SUMPRODUCT(B15:B20,C15:C20)*K9</f>
        <v>0</v>
      </c>
    </row>
    <row r="11" spans="1:12">
      <c r="B11" s="5" t="s">
        <v>233</v>
      </c>
      <c r="C11" s="49">
        <f>C9/C10</f>
        <v>0</v>
      </c>
      <c r="J11" s="5" t="s">
        <v>234</v>
      </c>
      <c r="K11" s="1">
        <f>C11-K9</f>
        <v>0</v>
      </c>
    </row>
    <row r="12" spans="1:12" ht="15" thickBot="1">
      <c r="B12" s="5"/>
      <c r="C12" s="49"/>
      <c r="J12" s="47" t="s">
        <v>235</v>
      </c>
      <c r="K12" s="48">
        <f>(K11*B15*E15)+(K11*B16*E16)+(K11*B17*E17)+(K11*B18*E18)+(K11*B19*E19)+(K11*B20*E20)</f>
        <v>0</v>
      </c>
    </row>
    <row r="13" spans="1:12" ht="15" customHeight="1" thickBot="1">
      <c r="A13" s="460" t="s">
        <v>236</v>
      </c>
      <c r="B13" s="461"/>
      <c r="C13" s="461"/>
      <c r="D13" s="461"/>
      <c r="E13" s="461"/>
      <c r="F13" s="462"/>
    </row>
    <row r="14" spans="1:12" s="13" customFormat="1" ht="43.5" thickBot="1">
      <c r="A14" s="50" t="s">
        <v>237</v>
      </c>
      <c r="B14" s="51" t="s">
        <v>238</v>
      </c>
      <c r="C14" s="51" t="s">
        <v>239</v>
      </c>
      <c r="D14" s="51" t="s">
        <v>240</v>
      </c>
      <c r="E14" s="51" t="s">
        <v>241</v>
      </c>
      <c r="F14" s="51" t="s">
        <v>242</v>
      </c>
      <c r="J14" s="52" t="s">
        <v>243</v>
      </c>
      <c r="K14" s="53">
        <f>K10+K12</f>
        <v>0</v>
      </c>
    </row>
    <row r="15" spans="1:12">
      <c r="A15" s="5" t="s">
        <v>244</v>
      </c>
      <c r="B15" s="54">
        <v>0.16</v>
      </c>
      <c r="C15" s="31">
        <v>30000</v>
      </c>
      <c r="D15" s="31">
        <v>25000</v>
      </c>
      <c r="E15" s="31">
        <f>C15-D15</f>
        <v>5000</v>
      </c>
      <c r="F15" s="55">
        <v>9.1999999999999998E-2</v>
      </c>
    </row>
    <row r="16" spans="1:12">
      <c r="A16" s="5" t="s">
        <v>245</v>
      </c>
      <c r="B16" s="54">
        <v>0.39</v>
      </c>
      <c r="C16" s="31">
        <v>40000</v>
      </c>
      <c r="D16" s="31">
        <v>34700</v>
      </c>
      <c r="E16" s="31">
        <f t="shared" ref="E16:E20" si="0">C16-D16</f>
        <v>5300</v>
      </c>
      <c r="F16" s="55">
        <v>6.4000000000000001E-2</v>
      </c>
    </row>
    <row r="17" spans="1:6">
      <c r="A17" s="5" t="s">
        <v>246</v>
      </c>
      <c r="B17" s="54">
        <v>0.24</v>
      </c>
      <c r="C17" s="31">
        <v>46000</v>
      </c>
      <c r="D17" s="31">
        <v>40000</v>
      </c>
      <c r="E17" s="31">
        <f t="shared" si="0"/>
        <v>6000</v>
      </c>
      <c r="F17" s="55">
        <v>2.9000000000000001E-2</v>
      </c>
    </row>
    <row r="18" spans="1:6">
      <c r="A18" s="5" t="s">
        <v>247</v>
      </c>
      <c r="B18" s="54">
        <v>0.08</v>
      </c>
      <c r="C18" s="31">
        <v>50000</v>
      </c>
      <c r="D18" s="31">
        <v>43900</v>
      </c>
      <c r="E18" s="31">
        <f t="shared" si="0"/>
        <v>6100</v>
      </c>
      <c r="F18" s="55">
        <v>2.9000000000000001E-2</v>
      </c>
    </row>
    <row r="19" spans="1:6">
      <c r="A19" s="5" t="s">
        <v>248</v>
      </c>
      <c r="B19" s="54">
        <v>0.1</v>
      </c>
      <c r="C19" s="31">
        <v>60000</v>
      </c>
      <c r="D19" s="31">
        <v>60000</v>
      </c>
      <c r="E19" s="31">
        <f t="shared" si="0"/>
        <v>0</v>
      </c>
      <c r="F19" s="55">
        <v>2.4E-2</v>
      </c>
    </row>
    <row r="20" spans="1:6">
      <c r="A20" s="5" t="s">
        <v>249</v>
      </c>
      <c r="B20" s="54">
        <v>0.03</v>
      </c>
      <c r="C20" s="31">
        <v>73000</v>
      </c>
      <c r="D20" s="31">
        <v>75000</v>
      </c>
      <c r="E20" s="31">
        <f t="shared" si="0"/>
        <v>-2000</v>
      </c>
      <c r="F20" s="55">
        <v>2.4E-2</v>
      </c>
    </row>
    <row r="23" spans="1:6">
      <c r="A23" s="9" t="s">
        <v>250</v>
      </c>
    </row>
    <row r="24" spans="1:6" ht="45" customHeight="1">
      <c r="A24" s="448" t="s">
        <v>251</v>
      </c>
      <c r="B24" s="448"/>
      <c r="C24" s="448"/>
      <c r="D24" s="448"/>
      <c r="E24" s="448"/>
      <c r="F24" s="448"/>
    </row>
  </sheetData>
  <mergeCells count="6">
    <mergeCell ref="A24:F24"/>
    <mergeCell ref="A1:L1"/>
    <mergeCell ref="A5:L6"/>
    <mergeCell ref="A8:C8"/>
    <mergeCell ref="J8:K8"/>
    <mergeCell ref="A13:F13"/>
  </mergeCells>
  <pageMargins left="0.7" right="0.7" top="0.75" bottom="0.75" header="0.3" footer="0.3"/>
  <pageSetup paperSize="3" scale="94"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4817E4-8B34-432D-A825-FAADC648B2CE}">
  <sheetPr>
    <tabColor theme="0" tint="-0.249977111117893"/>
  </sheetPr>
  <dimension ref="A1:K11"/>
  <sheetViews>
    <sheetView topLeftCell="D1" workbookViewId="0">
      <selection activeCell="A8" sqref="A8:C8"/>
    </sheetView>
  </sheetViews>
  <sheetFormatPr defaultColWidth="9.140625" defaultRowHeight="14.25"/>
  <cols>
    <col min="1" max="1" width="0" style="3" hidden="1" customWidth="1"/>
    <col min="2" max="2" width="9.28515625" style="3" customWidth="1"/>
    <col min="3" max="3" width="18.28515625" style="3" customWidth="1"/>
    <col min="4" max="9" width="14.7109375" style="3" customWidth="1"/>
    <col min="10" max="11" width="14.7109375" style="3" hidden="1" customWidth="1"/>
    <col min="12" max="16384" width="9.140625" style="3"/>
  </cols>
  <sheetData>
    <row r="1" spans="1:11">
      <c r="B1" s="463" t="s">
        <v>252</v>
      </c>
      <c r="C1" s="463"/>
      <c r="D1" s="463"/>
      <c r="E1" s="463"/>
      <c r="F1" s="463"/>
      <c r="G1" s="463"/>
      <c r="H1" s="463"/>
      <c r="I1" s="463"/>
      <c r="J1" s="463"/>
      <c r="K1" s="463"/>
    </row>
    <row r="2" spans="1:11" s="37" customFormat="1" ht="57">
      <c r="A2" s="32" t="s">
        <v>253</v>
      </c>
      <c r="B2" s="33" t="s">
        <v>19</v>
      </c>
      <c r="C2" s="33" t="s">
        <v>254</v>
      </c>
      <c r="D2" s="33" t="s">
        <v>255</v>
      </c>
      <c r="E2" s="33" t="s">
        <v>256</v>
      </c>
      <c r="F2" s="33" t="s">
        <v>257</v>
      </c>
      <c r="G2" s="33" t="s">
        <v>258</v>
      </c>
      <c r="H2" s="33" t="s">
        <v>259</v>
      </c>
      <c r="I2" s="34" t="s">
        <v>260</v>
      </c>
      <c r="J2" s="35" t="s">
        <v>261</v>
      </c>
      <c r="K2" s="36" t="s">
        <v>262</v>
      </c>
    </row>
    <row r="3" spans="1:11">
      <c r="A3" s="3">
        <v>1</v>
      </c>
      <c r="B3" s="38">
        <v>2019</v>
      </c>
      <c r="C3" s="31">
        <f>0</f>
        <v>0</v>
      </c>
      <c r="D3" s="1">
        <f>C3/'Job Creation Benefit'!$C$10</f>
        <v>0</v>
      </c>
      <c r="E3" s="1">
        <f>SUMPRODUCT('Job Creation Benefit'!$B$15:$B$20,'Job Creation Benefit'!$F$15:$F$20)*'Job Creation Backup'!D3</f>
        <v>0</v>
      </c>
      <c r="F3" s="31">
        <f>SUMPRODUCT('Job Creation Benefit'!$B$15:$B$20,'Job Creation Benefit'!$C$15:$C$20)*'Job Creation Backup'!E3</f>
        <v>0</v>
      </c>
      <c r="G3" s="1">
        <f>D3-E3</f>
        <v>0</v>
      </c>
      <c r="H3" s="31">
        <f>SUMPRODUCT('Job Creation Benefit'!$B$15:$B$20,'Job Creation Benefit'!$E$15:$E$20)*'Job Creation Backup'!G3</f>
        <v>0</v>
      </c>
      <c r="I3" s="39">
        <v>0</v>
      </c>
      <c r="J3" s="40" t="e">
        <f>$I3/((1+#REF!)^$A3)</f>
        <v>#REF!</v>
      </c>
      <c r="K3" s="41" t="e">
        <f>$I3/((1+#REF!)^$A3)</f>
        <v>#REF!</v>
      </c>
    </row>
    <row r="4" spans="1:11">
      <c r="A4" s="3">
        <v>2</v>
      </c>
      <c r="B4" s="38">
        <v>2020</v>
      </c>
      <c r="C4" s="31">
        <f>'10. Future Eligible Costs'!G16/2</f>
        <v>1207500</v>
      </c>
      <c r="D4" s="1">
        <f>C4/'Job Creation Benefit'!$C$10</f>
        <v>15.697515697515698</v>
      </c>
      <c r="E4" s="1">
        <f>SUMPRODUCT('Job Creation Benefit'!$B$15:$B$20,'Job Creation Benefit'!$F$15:$F$20)*'Job Creation Backup'!D4</f>
        <v>0.8175266175266177</v>
      </c>
      <c r="F4" s="31">
        <f>SUMPRODUCT('Job Creation Benefit'!$B$15:$B$20,'Job Creation Benefit'!$C$15:$C$20)*'Job Creation Backup'!E4</f>
        <v>35668.686322686328</v>
      </c>
      <c r="G4" s="1">
        <v>0</v>
      </c>
      <c r="H4" s="31">
        <f>SUMPRODUCT('Job Creation Benefit'!$B$15:$B$20,'Job Creation Benefit'!$E$15:$E$20)*'Job Creation Backup'!G4</f>
        <v>0</v>
      </c>
      <c r="I4" s="39">
        <v>0</v>
      </c>
      <c r="J4" s="40" t="e">
        <f>$I4/((1+#REF!)^$A4)</f>
        <v>#REF!</v>
      </c>
      <c r="K4" s="41" t="e">
        <f>$I4/((1+#REF!)^$A4)</f>
        <v>#REF!</v>
      </c>
    </row>
    <row r="5" spans="1:11">
      <c r="A5" s="3">
        <v>3</v>
      </c>
      <c r="B5" s="38">
        <v>2021</v>
      </c>
      <c r="C5" s="31">
        <f>'10. Future Eligible Costs'!G16/2</f>
        <v>1207500</v>
      </c>
      <c r="D5" s="1">
        <f>C5/'Job Creation Benefit'!$C$10</f>
        <v>15.697515697515698</v>
      </c>
      <c r="E5" s="1">
        <f>SUMPRODUCT('Job Creation Benefit'!$B$15:$B$20,'Job Creation Benefit'!$F$15:$F$20)*'Job Creation Backup'!D5</f>
        <v>0.8175266175266177</v>
      </c>
      <c r="F5" s="31">
        <f>SUMPRODUCT('Job Creation Benefit'!$B$15:$B$20,'Job Creation Benefit'!$C$15:$C$20)*'Job Creation Backup'!E5</f>
        <v>35668.686322686328</v>
      </c>
      <c r="G5" s="1">
        <v>0</v>
      </c>
      <c r="H5" s="31">
        <f>SUMPRODUCT('Job Creation Benefit'!$B$15:$B$20,'Job Creation Benefit'!$E$15:$E$20)*'Job Creation Backup'!G5</f>
        <v>0</v>
      </c>
      <c r="I5" s="39">
        <v>0</v>
      </c>
      <c r="J5" s="40" t="e">
        <f>$I5/((1+#REF!)^$A5)</f>
        <v>#REF!</v>
      </c>
      <c r="K5" s="41" t="e">
        <f>$I5/((1+#REF!)^$A5)</f>
        <v>#REF!</v>
      </c>
    </row>
    <row r="6" spans="1:11">
      <c r="A6" s="3">
        <v>4</v>
      </c>
      <c r="B6" s="38">
        <v>2022</v>
      </c>
      <c r="C6" s="31">
        <f>'10. Future Eligible Costs'!G17</f>
        <v>2875000</v>
      </c>
      <c r="D6" s="1">
        <f>C6/'Job Creation Benefit'!$C$10</f>
        <v>37.375037375037373</v>
      </c>
      <c r="E6" s="1">
        <f>SUMPRODUCT('Job Creation Benefit'!$B$15:$B$20,'Job Creation Benefit'!$F$15:$F$20)*'Job Creation Backup'!D6</f>
        <v>1.9464919464919466</v>
      </c>
      <c r="F6" s="31">
        <f>SUMPRODUCT('Job Creation Benefit'!$B$15:$B$20,'Job Creation Benefit'!$C$15:$C$20)*'Job Creation Backup'!E6</f>
        <v>84925.44362544363</v>
      </c>
      <c r="G6" s="1">
        <v>0</v>
      </c>
      <c r="H6" s="31">
        <f>SUMPRODUCT('Job Creation Benefit'!$B$15:$B$20,'Job Creation Benefit'!$E$15:$E$20)*'Job Creation Backup'!G6</f>
        <v>0</v>
      </c>
      <c r="I6" s="39">
        <v>0</v>
      </c>
      <c r="J6" s="40" t="e">
        <f>$I6/((1+#REF!)^$A6)</f>
        <v>#REF!</v>
      </c>
      <c r="K6" s="41" t="e">
        <f>$I6/((1+#REF!)^$A6)</f>
        <v>#REF!</v>
      </c>
    </row>
    <row r="7" spans="1:11">
      <c r="A7" s="3">
        <v>5</v>
      </c>
      <c r="B7" s="38">
        <v>2023</v>
      </c>
      <c r="C7" s="31">
        <f>'10. Future Eligible Costs'!G18</f>
        <v>30900000</v>
      </c>
      <c r="D7" s="1">
        <f>C7/'Job Creation Benefit'!$C$10</f>
        <v>401.7004017004017</v>
      </c>
      <c r="E7" s="1">
        <f>SUMPRODUCT('Job Creation Benefit'!$B$15:$B$20,'Job Creation Benefit'!$F$15:$F$20)*'Job Creation Backup'!D7</f>
        <v>20.920556920556923</v>
      </c>
      <c r="F7" s="31">
        <f>SUMPRODUCT('Job Creation Benefit'!$B$15:$B$20,'Job Creation Benefit'!$C$15:$C$20)*'Job Creation Backup'!E7</f>
        <v>912763.89844389854</v>
      </c>
      <c r="G7" s="1">
        <v>0</v>
      </c>
      <c r="H7" s="31">
        <f>SUMPRODUCT('Job Creation Benefit'!$B$15:$B$20,'Job Creation Benefit'!$E$15:$E$20)*'Job Creation Backup'!G7</f>
        <v>0</v>
      </c>
      <c r="I7" s="39">
        <v>0</v>
      </c>
      <c r="J7" s="40" t="e">
        <f>$I7/((1+#REF!)^$A7)</f>
        <v>#REF!</v>
      </c>
      <c r="K7" s="41" t="e">
        <f>$I7/((1+#REF!)^$A7)</f>
        <v>#REF!</v>
      </c>
    </row>
    <row r="8" spans="1:11">
      <c r="A8" s="3">
        <v>6</v>
      </c>
      <c r="B8" s="38">
        <v>2024</v>
      </c>
      <c r="C8" s="31">
        <f>'10. Future Eligible Costs'!G19</f>
        <v>37100000</v>
      </c>
      <c r="D8" s="1">
        <f>C8/'Job Creation Benefit'!$C$10</f>
        <v>482.30048230048232</v>
      </c>
      <c r="E8" s="1">
        <f>SUMPRODUCT('Job Creation Benefit'!$B$15:$B$20,'Job Creation Benefit'!$F$15:$F$20)*'Job Creation Backup'!D8</f>
        <v>25.118209118209123</v>
      </c>
      <c r="F8" s="31">
        <f>SUMPRODUCT('Job Creation Benefit'!$B$15:$B$20,'Job Creation Benefit'!$C$15:$C$20)*'Job Creation Backup'!E8</f>
        <v>1095907.463827464</v>
      </c>
      <c r="G8" s="1">
        <v>0</v>
      </c>
      <c r="H8" s="31">
        <f>SUMPRODUCT('Job Creation Benefit'!$B$15:$B$20,'Job Creation Benefit'!$E$15:$E$20)*'Job Creation Backup'!G8</f>
        <v>0</v>
      </c>
      <c r="I8" s="39">
        <v>0</v>
      </c>
      <c r="J8" s="40" t="e">
        <f>$I8/((1+#REF!)^$A8)</f>
        <v>#REF!</v>
      </c>
      <c r="K8" s="41" t="e">
        <f>$I8/((1+#REF!)^$A8)</f>
        <v>#REF!</v>
      </c>
    </row>
    <row r="9" spans="1:11">
      <c r="A9" s="3">
        <v>7</v>
      </c>
      <c r="B9" s="38">
        <v>2025</v>
      </c>
      <c r="C9" s="31" t="e">
        <f>'10. Future Eligible Costs'!G20+'10. Future Eligible Costs'!#REF!</f>
        <v>#REF!</v>
      </c>
      <c r="D9" s="1" t="e">
        <f>C9/'Job Creation Benefit'!$C$10</f>
        <v>#REF!</v>
      </c>
      <c r="E9" s="1" t="e">
        <f>SUMPRODUCT('Job Creation Benefit'!$B$15:$B$20,'Job Creation Benefit'!$F$15:$F$20)*'Job Creation Backup'!D9</f>
        <v>#REF!</v>
      </c>
      <c r="F9" s="31" t="e">
        <f>SUMPRODUCT('Job Creation Benefit'!$B$15:$B$20,'Job Creation Benefit'!$C$15:$C$20)*'Job Creation Backup'!E9</f>
        <v>#REF!</v>
      </c>
      <c r="G9" s="1">
        <v>0</v>
      </c>
      <c r="H9" s="31">
        <f>SUMPRODUCT('Job Creation Benefit'!$B$15:$B$20,'Job Creation Benefit'!$E$15:$E$20)*'Job Creation Backup'!G9</f>
        <v>0</v>
      </c>
      <c r="I9" s="39">
        <v>0</v>
      </c>
      <c r="J9" s="40" t="e">
        <f>$I9/((1+#REF!)^$A9)</f>
        <v>#REF!</v>
      </c>
      <c r="K9" s="41" t="e">
        <f>$I9/((1+#REF!)^$A9)</f>
        <v>#REF!</v>
      </c>
    </row>
    <row r="10" spans="1:11">
      <c r="A10" s="4">
        <v>8</v>
      </c>
      <c r="B10" s="57">
        <v>2026</v>
      </c>
      <c r="C10" s="42">
        <v>0</v>
      </c>
      <c r="D10" s="2">
        <f>C10/'Job Creation Benefit'!$C$10</f>
        <v>0</v>
      </c>
      <c r="E10" s="2">
        <f>SUMPRODUCT('Job Creation Benefit'!$B$15:$B$20,'Job Creation Benefit'!$F$15:$F$20)*'Job Creation Backup'!D10</f>
        <v>0</v>
      </c>
      <c r="F10" s="42">
        <f>SUMPRODUCT('Job Creation Benefit'!$B$15:$B$20,'Job Creation Benefit'!$C$15:$C$20)*'Job Creation Backup'!E10</f>
        <v>0</v>
      </c>
      <c r="G10" s="2">
        <v>0</v>
      </c>
      <c r="H10" s="42">
        <f>SUMPRODUCT('Job Creation Benefit'!$B$15:$B$20,'Job Creation Benefit'!$E$15:$E$20)*'Job Creation Backup'!G10</f>
        <v>0</v>
      </c>
      <c r="I10" s="43">
        <f t="shared" ref="I10" si="0">SUM(H10,F10)</f>
        <v>0</v>
      </c>
      <c r="J10" s="40" t="e">
        <f>$I10/((1+#REF!)^$A10)</f>
        <v>#REF!</v>
      </c>
      <c r="K10" s="41" t="e">
        <f>$I10/((1+#REF!)^$A10)</f>
        <v>#REF!</v>
      </c>
    </row>
    <row r="11" spans="1:11">
      <c r="B11" s="38" t="s">
        <v>263</v>
      </c>
      <c r="C11" s="44" t="e">
        <f t="shared" ref="C11:H11" si="1">SUM(C3:C10)</f>
        <v>#REF!</v>
      </c>
      <c r="D11" s="45" t="e">
        <f t="shared" si="1"/>
        <v>#REF!</v>
      </c>
      <c r="E11" s="45" t="e">
        <f t="shared" si="1"/>
        <v>#REF!</v>
      </c>
      <c r="F11" s="44" t="e">
        <f t="shared" si="1"/>
        <v>#REF!</v>
      </c>
      <c r="G11" s="45">
        <f t="shared" si="1"/>
        <v>0</v>
      </c>
      <c r="H11" s="44">
        <f t="shared" si="1"/>
        <v>0</v>
      </c>
      <c r="I11" s="46">
        <f>SUM(I3:I10)</f>
        <v>0</v>
      </c>
    </row>
  </sheetData>
  <mergeCells count="1">
    <mergeCell ref="B1:K1"/>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pageSetUpPr fitToPage="1"/>
  </sheetPr>
  <dimension ref="A1:I70"/>
  <sheetViews>
    <sheetView showGridLines="0" view="pageBreakPreview" zoomScale="85" zoomScaleNormal="100" zoomScaleSheetLayoutView="85" workbookViewId="0">
      <selection activeCell="A6" sqref="A6:I11"/>
    </sheetView>
  </sheetViews>
  <sheetFormatPr defaultColWidth="9.140625" defaultRowHeight="12.75"/>
  <cols>
    <col min="1" max="1" width="12.85546875" style="76" bestFit="1" customWidth="1"/>
    <col min="2" max="2" width="30" style="61" bestFit="1" customWidth="1"/>
    <col min="3" max="3" width="43.5703125" style="61" customWidth="1"/>
    <col min="4" max="4" width="23.42578125" style="61" customWidth="1"/>
    <col min="5" max="5" width="23.42578125" style="78" customWidth="1"/>
    <col min="6" max="6" width="17.85546875" style="61" hidden="1" customWidth="1"/>
    <col min="7" max="7" width="10.7109375" style="61" customWidth="1"/>
    <col min="8" max="8" width="10.7109375" style="61" hidden="1" customWidth="1"/>
    <col min="9" max="9" width="10.7109375" style="61" customWidth="1"/>
    <col min="10" max="16384" width="9.140625" style="61"/>
  </cols>
  <sheetData>
    <row r="1" spans="1:9" ht="15" customHeight="1">
      <c r="A1" s="464" t="s">
        <v>264</v>
      </c>
      <c r="B1" s="465"/>
      <c r="C1" s="465"/>
      <c r="D1" s="465"/>
      <c r="E1" s="465"/>
      <c r="F1" s="465"/>
      <c r="G1" s="465"/>
      <c r="H1" s="465"/>
      <c r="I1" s="465"/>
    </row>
    <row r="2" spans="1:9" ht="15" customHeight="1">
      <c r="A2" s="62" t="s">
        <v>1</v>
      </c>
      <c r="B2" s="63" t="str">
        <f>Project_Name</f>
        <v>Right-Sizing Route 37: Improving Community Connectivity</v>
      </c>
    </row>
    <row r="3" spans="1:9" ht="15" customHeight="1">
      <c r="A3" s="62" t="s">
        <v>3</v>
      </c>
      <c r="B3" s="72">
        <f>Date</f>
        <v>44985</v>
      </c>
    </row>
    <row r="4" spans="1:9" ht="15" customHeight="1">
      <c r="B4" s="79"/>
    </row>
    <row r="5" spans="1:9" ht="13.5" thickBot="1"/>
    <row r="6" spans="1:9" ht="240" customHeight="1" thickBot="1">
      <c r="A6" s="405" t="s">
        <v>265</v>
      </c>
      <c r="B6" s="406"/>
      <c r="C6" s="406"/>
      <c r="D6" s="406"/>
      <c r="E6" s="406"/>
      <c r="F6" s="406"/>
      <c r="G6" s="406"/>
      <c r="H6" s="406"/>
      <c r="I6" s="407"/>
    </row>
    <row r="7" spans="1:9">
      <c r="A7" s="128"/>
      <c r="B7" s="81"/>
      <c r="C7" s="81"/>
      <c r="D7" s="81"/>
      <c r="E7" s="80"/>
      <c r="F7" s="81"/>
      <c r="G7" s="81"/>
      <c r="H7" s="81"/>
      <c r="I7" s="81"/>
    </row>
    <row r="8" spans="1:9" ht="16.5" customHeight="1">
      <c r="A8" s="128"/>
      <c r="C8" s="466" t="s">
        <v>266</v>
      </c>
      <c r="D8" s="466"/>
      <c r="E8" s="466"/>
      <c r="F8" s="80"/>
      <c r="G8" s="81"/>
      <c r="H8" s="81"/>
    </row>
    <row r="9" spans="1:9" ht="16.5" customHeight="1">
      <c r="A9" s="128"/>
      <c r="C9" s="466"/>
      <c r="D9" s="466"/>
      <c r="E9" s="466"/>
      <c r="F9" s="80"/>
      <c r="G9" s="81"/>
      <c r="H9" s="81"/>
    </row>
    <row r="10" spans="1:9">
      <c r="A10" s="128"/>
      <c r="C10" s="123" t="s">
        <v>267</v>
      </c>
      <c r="D10" s="123" t="s">
        <v>268</v>
      </c>
      <c r="E10" s="287" t="s">
        <v>101</v>
      </c>
      <c r="F10" s="81"/>
      <c r="G10" s="81"/>
    </row>
    <row r="11" spans="1:9" ht="14.25" customHeight="1">
      <c r="A11" s="128"/>
      <c r="B11" s="81"/>
      <c r="C11" s="81" t="s">
        <v>269</v>
      </c>
      <c r="D11" s="80">
        <f>Table4.1_ForegoneSummary[[#This Row],[30-Year Total]]/30</f>
        <v>835015.16666666663</v>
      </c>
      <c r="E11" s="127">
        <f>'4B. Foregone Cost Backup'!F76</f>
        <v>25050455</v>
      </c>
      <c r="F11" s="81"/>
      <c r="G11" s="81"/>
      <c r="H11" s="81"/>
    </row>
    <row r="12" spans="1:9" ht="14.25" customHeight="1">
      <c r="A12" s="128"/>
      <c r="B12" s="81"/>
      <c r="C12" s="81" t="s">
        <v>270</v>
      </c>
      <c r="D12" s="80">
        <f>Table4.1_ForegoneSummary[[#This Row],[30-Year Total]]/30</f>
        <v>155876.66666666666</v>
      </c>
      <c r="E12" s="127">
        <f>SUM('12. Lifecycle Mgmt. Costs'!F17:F18,'12. Lifecycle Mgmt. Costs'!F21:F22)</f>
        <v>4676300</v>
      </c>
      <c r="F12" s="81"/>
      <c r="G12" s="81"/>
      <c r="H12" s="81"/>
    </row>
    <row r="13" spans="1:9" ht="14.25" customHeight="1">
      <c r="A13" s="128"/>
      <c r="B13" s="81"/>
      <c r="C13" s="81" t="s">
        <v>271</v>
      </c>
      <c r="D13" s="80">
        <f>Table4.1_ForegoneSummary[[#This Row],[30-Year Total]]/30</f>
        <v>101625.33333333333</v>
      </c>
      <c r="E13" s="127">
        <f>'4B. Foregone Cost Backup'!F65</f>
        <v>3048760</v>
      </c>
      <c r="F13" s="81"/>
      <c r="G13" s="81"/>
      <c r="H13" s="81"/>
    </row>
    <row r="14" spans="1:9" ht="14.25" customHeight="1">
      <c r="A14" s="128"/>
      <c r="B14" s="81"/>
      <c r="C14" s="81" t="s">
        <v>272</v>
      </c>
      <c r="D14" s="80">
        <f>Table4.1_ForegoneSummary[[#This Row],[30-Year Total]]/30</f>
        <v>156302</v>
      </c>
      <c r="E14" s="127">
        <f>'4B. Foregone Cost Backup'!F32</f>
        <v>4689060</v>
      </c>
      <c r="F14" s="81"/>
      <c r="G14" s="81"/>
      <c r="H14" s="81"/>
    </row>
    <row r="15" spans="1:9" ht="14.25" customHeight="1">
      <c r="A15" s="128"/>
      <c r="B15" s="81"/>
      <c r="C15" s="388"/>
      <c r="D15" s="80">
        <f>Table4.1_ForegoneSummary[[#This Row],[30-Year Total]]/30</f>
        <v>0</v>
      </c>
      <c r="E15" s="127">
        <f>'4B. Foregone Cost Backup'!F35</f>
        <v>0</v>
      </c>
      <c r="F15" s="81"/>
      <c r="G15" s="81"/>
      <c r="H15" s="81"/>
    </row>
    <row r="16" spans="1:9">
      <c r="A16" s="128"/>
      <c r="B16" s="81"/>
      <c r="C16" s="81"/>
      <c r="D16" s="80">
        <f>Table4.1_ForegoneSummary[[#This Row],[30-Year Total]]/30</f>
        <v>0</v>
      </c>
      <c r="E16" s="127">
        <f>'4B. Foregone Cost Backup'!F36</f>
        <v>0</v>
      </c>
      <c r="F16" s="81"/>
      <c r="G16" s="81"/>
      <c r="H16" s="81"/>
    </row>
    <row r="17" spans="1:8">
      <c r="A17" s="128"/>
      <c r="B17" s="81"/>
      <c r="C17" s="81"/>
      <c r="D17" s="80">
        <f>Table4.1_ForegoneSummary[[#This Row],[30-Year Total]]/30</f>
        <v>0</v>
      </c>
      <c r="E17" s="127">
        <f>'4B. Foregone Cost Backup'!F34</f>
        <v>0</v>
      </c>
      <c r="F17" s="81"/>
      <c r="G17" s="81"/>
      <c r="H17" s="81"/>
    </row>
    <row r="18" spans="1:8">
      <c r="A18" s="128"/>
      <c r="B18" s="81"/>
      <c r="C18" s="81" t="s">
        <v>26</v>
      </c>
      <c r="D18" s="286">
        <f>SUBTOTAL(109,Table4.1_ForegoneSummary[Annual Average])</f>
        <v>1248819.1666666665</v>
      </c>
      <c r="E18" s="127">
        <f>SUBTOTAL(109,Table4.1_ForegoneSummary[30-Year Total])</f>
        <v>37464575</v>
      </c>
      <c r="F18" s="81"/>
      <c r="G18" s="81"/>
      <c r="H18" s="81"/>
    </row>
    <row r="19" spans="1:8">
      <c r="A19" s="128"/>
      <c r="B19" s="81"/>
      <c r="C19" s="81"/>
      <c r="D19" s="286"/>
      <c r="E19" s="127"/>
      <c r="F19" s="81"/>
      <c r="G19" s="81"/>
      <c r="H19" s="81"/>
    </row>
    <row r="20" spans="1:8">
      <c r="A20" s="128"/>
      <c r="B20" s="81"/>
      <c r="C20" s="466" t="s">
        <v>273</v>
      </c>
      <c r="D20" s="466"/>
      <c r="E20" s="466"/>
      <c r="F20" s="81"/>
      <c r="G20" s="81"/>
      <c r="H20" s="81"/>
    </row>
    <row r="21" spans="1:8">
      <c r="A21" s="128"/>
      <c r="B21" s="81"/>
      <c r="C21" s="466"/>
      <c r="D21" s="466"/>
      <c r="E21" s="466"/>
      <c r="F21" s="81"/>
      <c r="G21" s="81"/>
      <c r="H21" s="81"/>
    </row>
    <row r="22" spans="1:8">
      <c r="A22" s="128"/>
      <c r="B22" s="81"/>
      <c r="C22" s="123" t="s">
        <v>267</v>
      </c>
      <c r="D22" s="123" t="s">
        <v>19</v>
      </c>
      <c r="E22" s="287" t="s">
        <v>26</v>
      </c>
      <c r="F22" s="81"/>
      <c r="G22" s="81"/>
      <c r="H22" s="81"/>
    </row>
    <row r="23" spans="1:8" ht="14.25" customHeight="1">
      <c r="A23" s="128"/>
      <c r="B23" s="81"/>
      <c r="C23" s="81" t="s">
        <v>274</v>
      </c>
      <c r="D23" s="373">
        <v>2028</v>
      </c>
      <c r="E23" s="127">
        <f>'4B. Foregone Cost Backup'!F53</f>
        <v>16542651</v>
      </c>
      <c r="F23" s="81"/>
      <c r="G23" s="81"/>
      <c r="H23" s="81"/>
    </row>
    <row r="24" spans="1:8" ht="14.25" customHeight="1">
      <c r="A24" s="128"/>
      <c r="B24" s="81"/>
      <c r="C24" s="81" t="s">
        <v>275</v>
      </c>
      <c r="D24" s="373">
        <v>2025</v>
      </c>
      <c r="E24" s="127">
        <f>'4B. Foregone Cost Backup'!F21</f>
        <v>25927991</v>
      </c>
      <c r="F24" s="81"/>
      <c r="G24" s="81"/>
      <c r="H24" s="81"/>
    </row>
    <row r="25" spans="1:8">
      <c r="A25" s="128"/>
      <c r="B25" s="81"/>
      <c r="C25" s="81"/>
      <c r="D25" s="373"/>
      <c r="E25" s="127"/>
      <c r="F25" s="81"/>
      <c r="G25" s="81"/>
      <c r="H25" s="81"/>
    </row>
    <row r="26" spans="1:8">
      <c r="A26" s="128"/>
      <c r="B26" s="81"/>
      <c r="C26" s="81"/>
      <c r="D26" s="373"/>
      <c r="E26" s="127"/>
      <c r="F26" s="81"/>
      <c r="G26" s="81"/>
      <c r="H26" s="81"/>
    </row>
    <row r="27" spans="1:8">
      <c r="A27" s="128"/>
      <c r="B27" s="81"/>
      <c r="C27" s="81"/>
      <c r="D27" s="373"/>
      <c r="E27" s="127">
        <f>'4B. Foregone Cost Backup'!F42</f>
        <v>0</v>
      </c>
      <c r="F27" s="81"/>
      <c r="G27" s="81"/>
      <c r="H27" s="81"/>
    </row>
    <row r="28" spans="1:8">
      <c r="A28" s="128"/>
      <c r="B28" s="81"/>
      <c r="C28" s="81" t="s">
        <v>26</v>
      </c>
      <c r="D28" s="128"/>
      <c r="E28" s="127">
        <f>SUBTOTAL(109,Table4.1_ForegoneSummary83[Total])</f>
        <v>42470642</v>
      </c>
      <c r="F28" s="81"/>
      <c r="G28" s="81"/>
      <c r="H28" s="81"/>
    </row>
    <row r="29" spans="1:8" s="82" customFormat="1">
      <c r="C29" s="81"/>
      <c r="D29" s="80"/>
      <c r="E29" s="81"/>
    </row>
    <row r="30" spans="1:8">
      <c r="D30" s="82"/>
      <c r="E30" s="82"/>
      <c r="F30" s="82"/>
    </row>
    <row r="37" ht="15" customHeight="1"/>
    <row r="44" ht="28.5" customHeight="1"/>
    <row r="47" ht="15" customHeight="1"/>
    <row r="49" ht="15" customHeight="1"/>
    <row r="58" ht="15" customHeight="1"/>
    <row r="68" spans="1:6">
      <c r="A68" s="61"/>
    </row>
    <row r="69" spans="1:6">
      <c r="A69" s="61"/>
      <c r="E69" s="61"/>
    </row>
    <row r="70" spans="1:6">
      <c r="E70" s="86"/>
      <c r="F70" s="85"/>
    </row>
  </sheetData>
  <mergeCells count="4">
    <mergeCell ref="A1:I1"/>
    <mergeCell ref="A6:I6"/>
    <mergeCell ref="C20:E21"/>
    <mergeCell ref="C8:E9"/>
  </mergeCells>
  <pageMargins left="0.7" right="0.7" top="0.75" bottom="0.75" header="0.3" footer="0.3"/>
  <pageSetup scale="59" orientation="portrait" r:id="rId1"/>
  <drawing r:id="rId2"/>
  <tableParts count="2">
    <tablePart r:id="rId3"/>
    <tablePart r:id="rId4"/>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B2DF5-707B-4E93-AC2C-4319DF3C306C}">
  <sheetPr>
    <tabColor theme="0" tint="-0.249977111117893"/>
    <pageSetUpPr fitToPage="1"/>
  </sheetPr>
  <dimension ref="A1:K76"/>
  <sheetViews>
    <sheetView showGridLines="0" view="pageBreakPreview" zoomScale="60" zoomScaleNormal="85" workbookViewId="0">
      <selection activeCell="A6" sqref="A6:I11"/>
    </sheetView>
  </sheetViews>
  <sheetFormatPr defaultColWidth="9.140625" defaultRowHeight="12.75"/>
  <cols>
    <col min="1" max="1" width="24" customWidth="1"/>
    <col min="2" max="2" width="62.42578125" customWidth="1"/>
    <col min="3" max="5" width="18" customWidth="1"/>
    <col min="6" max="6" width="20.85546875" customWidth="1"/>
    <col min="7" max="7" width="17.7109375" hidden="1" customWidth="1"/>
    <col min="8" max="8" width="10.7109375" hidden="1" customWidth="1"/>
    <col min="9" max="9" width="10.7109375" customWidth="1"/>
    <col min="10" max="10" width="1.28515625" customWidth="1"/>
  </cols>
  <sheetData>
    <row r="1" spans="1:9" ht="15" customHeight="1">
      <c r="A1" s="433" t="s">
        <v>276</v>
      </c>
      <c r="B1" s="434"/>
      <c r="C1" s="434"/>
      <c r="D1" s="434"/>
      <c r="E1" s="434"/>
      <c r="F1" s="434"/>
      <c r="G1" s="434"/>
      <c r="H1" s="434"/>
      <c r="I1" s="434"/>
    </row>
    <row r="2" spans="1:9" ht="15" customHeight="1">
      <c r="A2" s="87" t="s">
        <v>1</v>
      </c>
      <c r="B2" s="63" t="str">
        <f>Project_Name</f>
        <v>Right-Sizing Route 37: Improving Community Connectivity</v>
      </c>
      <c r="C2" s="82"/>
      <c r="D2" s="82"/>
      <c r="E2" s="82"/>
      <c r="F2" s="82"/>
      <c r="G2" s="82"/>
      <c r="H2" s="82"/>
      <c r="I2" s="82"/>
    </row>
    <row r="3" spans="1:9" ht="15" customHeight="1">
      <c r="A3" s="87" t="s">
        <v>3</v>
      </c>
      <c r="B3" s="88">
        <f>Date</f>
        <v>44985</v>
      </c>
      <c r="C3" s="82"/>
      <c r="D3" s="82"/>
      <c r="E3" s="82"/>
      <c r="F3" s="82"/>
      <c r="G3" s="82"/>
      <c r="H3" s="82"/>
      <c r="I3" s="82"/>
    </row>
    <row r="4" spans="1:9" ht="30" customHeight="1">
      <c r="A4" s="87"/>
      <c r="B4" s="87"/>
      <c r="C4" s="88"/>
      <c r="D4" s="82"/>
      <c r="E4" s="82"/>
      <c r="F4" s="82"/>
      <c r="G4" s="82"/>
      <c r="H4" s="82"/>
      <c r="I4" s="82"/>
    </row>
    <row r="5" spans="1:9" ht="13.5" thickBot="1">
      <c r="A5" s="87"/>
      <c r="B5" s="87"/>
      <c r="C5" s="88"/>
      <c r="D5" s="82"/>
      <c r="E5" s="82"/>
      <c r="F5" s="82"/>
      <c r="G5" s="82"/>
      <c r="H5" s="82"/>
      <c r="I5" s="82"/>
    </row>
    <row r="6" spans="1:9" ht="72.2" customHeight="1" thickBot="1">
      <c r="A6" s="102" t="s">
        <v>103</v>
      </c>
      <c r="B6" s="430" t="s">
        <v>277</v>
      </c>
      <c r="C6" s="431"/>
      <c r="D6" s="431"/>
      <c r="E6" s="431"/>
      <c r="F6" s="431"/>
      <c r="G6" s="431"/>
      <c r="H6" s="431"/>
      <c r="I6" s="432"/>
    </row>
    <row r="7" spans="1:9" ht="30" customHeight="1" thickBot="1">
      <c r="A7" s="102" t="s">
        <v>105</v>
      </c>
      <c r="B7" s="430" t="s">
        <v>278</v>
      </c>
      <c r="C7" s="431"/>
      <c r="D7" s="431"/>
      <c r="E7" s="431"/>
      <c r="F7" s="431"/>
      <c r="G7" s="431"/>
      <c r="H7" s="431"/>
      <c r="I7" s="432"/>
    </row>
    <row r="8" spans="1:9" ht="30" customHeight="1" thickBot="1">
      <c r="A8" s="102" t="s">
        <v>107</v>
      </c>
      <c r="B8" s="430" t="s">
        <v>279</v>
      </c>
      <c r="C8" s="431"/>
      <c r="D8" s="431"/>
      <c r="E8" s="431"/>
      <c r="F8" s="431"/>
      <c r="G8" s="431"/>
      <c r="H8" s="431"/>
      <c r="I8" s="432"/>
    </row>
    <row r="9" spans="1:9" ht="30" customHeight="1" thickBot="1">
      <c r="A9" s="102" t="s">
        <v>109</v>
      </c>
      <c r="B9" s="430" t="s">
        <v>280</v>
      </c>
      <c r="C9" s="431"/>
      <c r="D9" s="431"/>
      <c r="E9" s="431"/>
      <c r="F9" s="431"/>
      <c r="G9" s="431"/>
      <c r="H9" s="431"/>
      <c r="I9" s="432"/>
    </row>
    <row r="10" spans="1:9" ht="30" customHeight="1" thickBot="1">
      <c r="A10" s="102" t="s">
        <v>111</v>
      </c>
      <c r="B10" s="430" t="s">
        <v>281</v>
      </c>
      <c r="C10" s="431"/>
      <c r="D10" s="431"/>
      <c r="E10" s="431"/>
      <c r="F10" s="431"/>
      <c r="G10" s="431"/>
      <c r="H10" s="431"/>
      <c r="I10" s="432"/>
    </row>
    <row r="12" spans="1:9">
      <c r="B12" s="67"/>
      <c r="C12" s="67"/>
      <c r="D12" s="269"/>
      <c r="E12" s="83"/>
      <c r="F12" s="68"/>
      <c r="G12" s="68"/>
    </row>
    <row r="13" spans="1:9">
      <c r="B13" s="413" t="s">
        <v>282</v>
      </c>
      <c r="C13" s="413"/>
      <c r="D13" s="413"/>
      <c r="E13" s="413"/>
      <c r="F13" s="68"/>
      <c r="G13" s="68"/>
    </row>
    <row r="14" spans="1:9">
      <c r="B14" s="167"/>
      <c r="C14" s="167"/>
      <c r="D14" s="167"/>
      <c r="E14" s="167"/>
      <c r="F14" s="68"/>
    </row>
    <row r="15" spans="1:9">
      <c r="B15" s="270" t="s">
        <v>283</v>
      </c>
      <c r="C15" s="135" t="s">
        <v>284</v>
      </c>
      <c r="D15" s="135" t="s">
        <v>285</v>
      </c>
      <c r="E15" s="135" t="s">
        <v>286</v>
      </c>
      <c r="F15" s="271" t="s">
        <v>287</v>
      </c>
    </row>
    <row r="16" spans="1:9">
      <c r="B16" s="337" t="s">
        <v>288</v>
      </c>
      <c r="C16" s="205">
        <v>1</v>
      </c>
      <c r="D16" s="338">
        <v>13716800</v>
      </c>
      <c r="E16" s="339">
        <v>1</v>
      </c>
      <c r="F16" s="217">
        <f>Table57[[#This Row],[Iterations]]*Table57[[#This Row],[Unit Cost/EA/SF]]*Table57[[#This Row],[Square Feet/Each]]</f>
        <v>13716800</v>
      </c>
    </row>
    <row r="17" spans="2:11">
      <c r="B17" s="337"/>
      <c r="C17" s="205"/>
      <c r="D17" s="338"/>
      <c r="E17" s="339"/>
      <c r="F17" s="217">
        <f>Table57[[#This Row],[Iterations]]*Table57[[#This Row],[Unit Cost/EA/SF]]*Table57[[#This Row],[Square Feet/Each]]</f>
        <v>0</v>
      </c>
      <c r="G17" s="68"/>
      <c r="H17" s="61"/>
      <c r="I17" s="61"/>
      <c r="J17" s="61"/>
      <c r="K17" s="61"/>
    </row>
    <row r="18" spans="2:11">
      <c r="B18" s="276" t="s">
        <v>289</v>
      </c>
      <c r="C18" s="280"/>
      <c r="D18" s="280"/>
      <c r="E18" s="280"/>
      <c r="F18" s="278">
        <f>SUM(F16:F17)</f>
        <v>13716800</v>
      </c>
      <c r="G18" s="68"/>
      <c r="H18" s="61"/>
      <c r="I18" s="61"/>
      <c r="J18" s="61"/>
      <c r="K18" s="61"/>
    </row>
    <row r="19" spans="2:11">
      <c r="B19" s="272" t="s">
        <v>290</v>
      </c>
      <c r="C19" s="67"/>
      <c r="D19" s="67"/>
      <c r="E19" s="67"/>
      <c r="F19" s="83">
        <f>F18*0.3</f>
        <v>4115040</v>
      </c>
      <c r="G19" s="68"/>
      <c r="H19" s="61"/>
      <c r="I19" s="61"/>
      <c r="J19" s="61"/>
      <c r="K19" s="61"/>
    </row>
    <row r="20" spans="2:11">
      <c r="B20" s="272" t="s">
        <v>291</v>
      </c>
      <c r="C20" s="67"/>
      <c r="D20" s="67"/>
      <c r="E20" s="67"/>
      <c r="F20" s="83">
        <v>8096151</v>
      </c>
      <c r="G20" s="68"/>
      <c r="H20" s="61"/>
      <c r="I20" s="61"/>
      <c r="J20" s="61"/>
      <c r="K20" s="61"/>
    </row>
    <row r="21" spans="2:11">
      <c r="B21" s="279" t="s">
        <v>292</v>
      </c>
      <c r="C21" s="277"/>
      <c r="D21" s="277"/>
      <c r="E21" s="277"/>
      <c r="F21" s="278">
        <f>F18+F19+F20</f>
        <v>25927991</v>
      </c>
      <c r="G21" s="68"/>
      <c r="H21" s="61"/>
      <c r="I21" s="61"/>
      <c r="J21" s="61"/>
      <c r="K21" s="61"/>
    </row>
    <row r="22" spans="2:11">
      <c r="B22" s="67"/>
      <c r="C22" s="67"/>
      <c r="D22" s="269"/>
      <c r="E22" s="83"/>
      <c r="F22" s="68"/>
      <c r="G22" s="68"/>
      <c r="H22" s="61"/>
      <c r="I22" s="61"/>
      <c r="J22" s="61"/>
      <c r="K22" s="61"/>
    </row>
    <row r="23" spans="2:11">
      <c r="B23" s="413" t="s">
        <v>293</v>
      </c>
      <c r="C23" s="413"/>
      <c r="D23" s="413"/>
      <c r="E23" s="413"/>
      <c r="F23" s="68"/>
      <c r="G23" s="68"/>
      <c r="H23" s="61"/>
      <c r="I23" s="61"/>
      <c r="J23" s="61"/>
      <c r="K23" s="61"/>
    </row>
    <row r="24" spans="2:11">
      <c r="B24" s="167"/>
      <c r="C24" s="167"/>
      <c r="D24" s="167"/>
      <c r="E24" s="167"/>
      <c r="F24" s="68"/>
      <c r="G24" s="61"/>
      <c r="H24" s="61"/>
      <c r="I24" s="61"/>
      <c r="J24" s="61"/>
    </row>
    <row r="25" spans="2:11">
      <c r="B25" s="270" t="s">
        <v>283</v>
      </c>
      <c r="C25" s="135" t="s">
        <v>284</v>
      </c>
      <c r="D25" s="135" t="s">
        <v>285</v>
      </c>
      <c r="E25" s="135" t="s">
        <v>286</v>
      </c>
      <c r="F25" s="271" t="s">
        <v>287</v>
      </c>
      <c r="G25" s="61"/>
      <c r="H25" s="61"/>
      <c r="I25" s="61"/>
      <c r="J25" s="61"/>
    </row>
    <row r="26" spans="2:11">
      <c r="B26" s="337" t="s">
        <v>294</v>
      </c>
      <c r="C26" s="205">
        <v>1</v>
      </c>
      <c r="D26" s="338">
        <v>17700</v>
      </c>
      <c r="E26" s="339">
        <v>15</v>
      </c>
      <c r="F26" s="217">
        <f>Table58[[#This Row],[Iterations]]*Table58[[#This Row],[Unit Cost/EA/SF]]*Table58[[#This Row],[Square Feet/Each]]</f>
        <v>265500</v>
      </c>
      <c r="G26" s="68"/>
      <c r="H26" s="61"/>
      <c r="I26" s="61"/>
      <c r="J26" s="61"/>
      <c r="K26" s="61"/>
    </row>
    <row r="27" spans="2:11">
      <c r="B27" s="337" t="s">
        <v>295</v>
      </c>
      <c r="C27" s="205">
        <v>1</v>
      </c>
      <c r="D27" s="338">
        <f>155300-17700</f>
        <v>137600</v>
      </c>
      <c r="E27" s="339">
        <v>1</v>
      </c>
      <c r="F27" s="217">
        <f>Table58[[#This Row],[Iterations]]*Table58[[#This Row],[Unit Cost/EA/SF]]*Table58[[#This Row],[Square Feet/Each]]</f>
        <v>137600</v>
      </c>
      <c r="G27" s="68"/>
      <c r="H27" s="61"/>
      <c r="I27" s="61"/>
      <c r="J27" s="61"/>
      <c r="K27" s="61"/>
    </row>
    <row r="28" spans="2:11">
      <c r="B28" s="337" t="s">
        <v>296</v>
      </c>
      <c r="C28" s="205">
        <v>1</v>
      </c>
      <c r="D28" s="338">
        <f>319500-17700</f>
        <v>301800</v>
      </c>
      <c r="E28" s="339">
        <v>1</v>
      </c>
      <c r="F28" s="217">
        <f>Table58[[#This Row],[Iterations]]*Table58[[#This Row],[Unit Cost/EA/SF]]*Table58[[#This Row],[Square Feet/Each]]</f>
        <v>301800</v>
      </c>
      <c r="G28" s="68"/>
      <c r="H28" s="61"/>
      <c r="I28" s="61"/>
      <c r="J28" s="61"/>
      <c r="K28" s="61"/>
    </row>
    <row r="29" spans="2:11">
      <c r="B29" s="337" t="s">
        <v>297</v>
      </c>
      <c r="C29" s="205">
        <v>1</v>
      </c>
      <c r="D29" s="338">
        <f>1658000-17700</f>
        <v>1640300</v>
      </c>
      <c r="E29" s="339">
        <v>1</v>
      </c>
      <c r="F29" s="217">
        <f>Table58[[#This Row],[Iterations]]*Table58[[#This Row],[Unit Cost/EA/SF]]*Table58[[#This Row],[Square Feet/Each]]</f>
        <v>1640300</v>
      </c>
      <c r="G29" s="68"/>
      <c r="H29" s="61"/>
      <c r="I29" s="61"/>
      <c r="J29" s="61"/>
      <c r="K29" s="61"/>
    </row>
    <row r="30" spans="2:11">
      <c r="B30" s="276" t="s">
        <v>289</v>
      </c>
      <c r="C30" s="280"/>
      <c r="D30" s="280"/>
      <c r="E30" s="280"/>
      <c r="F30" s="278">
        <f>SUM(F26:F29)</f>
        <v>2345200</v>
      </c>
      <c r="G30" s="68"/>
      <c r="H30" s="61"/>
      <c r="I30" s="61"/>
      <c r="J30" s="61"/>
      <c r="K30" s="61"/>
    </row>
    <row r="31" spans="2:11">
      <c r="B31" s="272" t="s">
        <v>290</v>
      </c>
      <c r="C31" s="67"/>
      <c r="D31" s="67"/>
      <c r="E31" s="67"/>
      <c r="F31" s="83">
        <f>F30*0.3</f>
        <v>703560</v>
      </c>
      <c r="G31" s="68"/>
      <c r="H31" s="61"/>
      <c r="I31" s="61"/>
      <c r="J31" s="61"/>
      <c r="K31" s="61"/>
    </row>
    <row r="32" spans="2:11">
      <c r="B32" s="279" t="s">
        <v>292</v>
      </c>
      <c r="C32" s="277"/>
      <c r="D32" s="277"/>
      <c r="E32" s="277"/>
      <c r="F32" s="370">
        <f>F29+F30+F31</f>
        <v>4689060</v>
      </c>
      <c r="G32" s="68"/>
      <c r="H32" s="61"/>
      <c r="I32" s="61"/>
      <c r="J32" s="61"/>
      <c r="K32" s="61"/>
    </row>
    <row r="33" spans="2:11" hidden="1">
      <c r="B33" s="467" t="s">
        <v>298</v>
      </c>
      <c r="C33" s="467"/>
      <c r="D33" s="467"/>
      <c r="E33" s="467"/>
      <c r="G33" s="68"/>
      <c r="H33" s="61"/>
      <c r="I33" s="61"/>
      <c r="J33" s="61"/>
      <c r="K33" s="61"/>
    </row>
    <row r="34" spans="2:11" hidden="1">
      <c r="B34" s="282"/>
      <c r="C34" s="282"/>
      <c r="D34" s="282"/>
      <c r="E34" s="282"/>
    </row>
    <row r="35" spans="2:11" hidden="1">
      <c r="B35" s="282" t="s">
        <v>299</v>
      </c>
      <c r="C35" s="282" t="s">
        <v>6</v>
      </c>
      <c r="D35" s="282" t="s">
        <v>300</v>
      </c>
      <c r="E35" s="282"/>
    </row>
    <row r="36" spans="2:11" hidden="1">
      <c r="B36" s="62" t="s">
        <v>301</v>
      </c>
      <c r="C36" s="273">
        <v>36400</v>
      </c>
      <c r="D36" s="61" t="s">
        <v>302</v>
      </c>
    </row>
    <row r="37" spans="2:11" hidden="1">
      <c r="B37" s="62" t="s">
        <v>303</v>
      </c>
      <c r="C37" s="157"/>
      <c r="D37" s="61"/>
      <c r="E37" s="468" t="s">
        <v>304</v>
      </c>
      <c r="F37" s="468"/>
    </row>
    <row r="38" spans="2:11" hidden="1">
      <c r="B38" s="62" t="s">
        <v>305</v>
      </c>
      <c r="C38" s="157"/>
      <c r="D38" s="61"/>
      <c r="E38" s="468"/>
      <c r="F38" s="468"/>
    </row>
    <row r="39" spans="2:11" hidden="1">
      <c r="B39" s="62" t="s">
        <v>306</v>
      </c>
      <c r="C39" s="210">
        <f>All_Purpose_Travel</f>
        <v>18.8</v>
      </c>
      <c r="D39" s="61" t="s">
        <v>307</v>
      </c>
      <c r="E39" s="468"/>
      <c r="F39" s="468"/>
    </row>
    <row r="40" spans="2:11" hidden="1">
      <c r="B40" s="62" t="s">
        <v>308</v>
      </c>
      <c r="C40" s="210">
        <f>Truck_Travel</f>
        <v>32.4</v>
      </c>
      <c r="D40" s="61" t="s">
        <v>307</v>
      </c>
      <c r="E40" s="468"/>
      <c r="F40" s="468"/>
    </row>
    <row r="41" spans="2:11" hidden="1">
      <c r="B41" s="62" t="s">
        <v>309</v>
      </c>
      <c r="C41" s="283"/>
      <c r="D41" s="61" t="s">
        <v>310</v>
      </c>
      <c r="E41" s="468"/>
      <c r="F41" s="468"/>
    </row>
    <row r="42" spans="2:11" hidden="1">
      <c r="B42" s="62" t="s">
        <v>311</v>
      </c>
      <c r="C42" s="283"/>
      <c r="D42" s="61" t="s">
        <v>312</v>
      </c>
      <c r="E42" s="468"/>
      <c r="F42" s="468"/>
    </row>
    <row r="43" spans="2:11" hidden="1">
      <c r="B43" s="284" t="s">
        <v>313</v>
      </c>
      <c r="C43" s="275">
        <f>(C39*(C37*C36)+C40*(C38*C36))*C41*C42</f>
        <v>0</v>
      </c>
      <c r="D43" s="61"/>
      <c r="E43" s="281"/>
    </row>
    <row r="44" spans="2:11">
      <c r="B44" s="274"/>
      <c r="C44" s="61"/>
      <c r="D44" s="61"/>
      <c r="E44" s="84"/>
    </row>
    <row r="45" spans="2:11">
      <c r="B45" s="413" t="s">
        <v>314</v>
      </c>
      <c r="C45" s="413"/>
      <c r="D45" s="413"/>
      <c r="E45" s="413"/>
      <c r="F45" s="68"/>
    </row>
    <row r="46" spans="2:11">
      <c r="B46" s="167"/>
      <c r="C46" s="167"/>
      <c r="D46" s="167"/>
      <c r="E46" s="167"/>
      <c r="F46" s="68"/>
    </row>
    <row r="47" spans="2:11">
      <c r="B47" s="270" t="s">
        <v>283</v>
      </c>
      <c r="C47" s="135" t="s">
        <v>284</v>
      </c>
      <c r="D47" s="135" t="s">
        <v>285</v>
      </c>
      <c r="E47" s="135" t="s">
        <v>286</v>
      </c>
      <c r="F47" s="271" t="s">
        <v>287</v>
      </c>
    </row>
    <row r="48" spans="2:11">
      <c r="B48" s="337" t="s">
        <v>315</v>
      </c>
      <c r="C48" s="205">
        <v>1</v>
      </c>
      <c r="D48" s="338">
        <v>1</v>
      </c>
      <c r="E48" s="339">
        <v>1</v>
      </c>
      <c r="F48" s="217">
        <v>8755000</v>
      </c>
    </row>
    <row r="49" spans="2:6">
      <c r="B49" s="337"/>
      <c r="C49" s="205"/>
      <c r="D49" s="338"/>
      <c r="E49" s="339"/>
      <c r="F49" s="217">
        <f>Table5757[[#This Row],[Iterations]]*Table5757[[#This Row],[Unit Cost/EA/SF]]*Table5757[[#This Row],[Square Feet/Each]]</f>
        <v>0</v>
      </c>
    </row>
    <row r="50" spans="2:6">
      <c r="B50" s="276" t="s">
        <v>289</v>
      </c>
      <c r="C50" s="280"/>
      <c r="D50" s="280"/>
      <c r="E50" s="280"/>
      <c r="F50" s="278">
        <f>SUM(F48:F49)</f>
        <v>8755000</v>
      </c>
    </row>
    <row r="51" spans="2:6">
      <c r="B51" s="272" t="s">
        <v>290</v>
      </c>
      <c r="C51" s="67"/>
      <c r="D51" s="67"/>
      <c r="E51" s="67"/>
      <c r="F51" s="83">
        <f>F50*0.3</f>
        <v>2626500</v>
      </c>
    </row>
    <row r="52" spans="2:6">
      <c r="B52" s="272" t="s">
        <v>316</v>
      </c>
      <c r="C52" s="67"/>
      <c r="D52" s="67"/>
      <c r="E52" s="67"/>
      <c r="F52" s="83">
        <v>5161151</v>
      </c>
    </row>
    <row r="53" spans="2:6">
      <c r="B53" s="279" t="s">
        <v>292</v>
      </c>
      <c r="C53" s="277"/>
      <c r="D53" s="277"/>
      <c r="E53" s="277"/>
      <c r="F53" s="278">
        <f>F50+F51+F52</f>
        <v>16542651</v>
      </c>
    </row>
    <row r="55" spans="2:6">
      <c r="B55" s="413" t="s">
        <v>317</v>
      </c>
      <c r="C55" s="413"/>
      <c r="D55" s="413"/>
      <c r="E55" s="413"/>
      <c r="F55" s="68"/>
    </row>
    <row r="56" spans="2:6">
      <c r="B56" s="167"/>
      <c r="C56" s="167"/>
      <c r="D56" s="167"/>
      <c r="E56" s="167"/>
      <c r="F56" s="68"/>
    </row>
    <row r="57" spans="2:6">
      <c r="B57" s="270" t="s">
        <v>283</v>
      </c>
      <c r="C57" s="135" t="s">
        <v>284</v>
      </c>
      <c r="D57" s="135" t="s">
        <v>285</v>
      </c>
      <c r="E57" s="135" t="s">
        <v>286</v>
      </c>
      <c r="F57" s="271" t="s">
        <v>287</v>
      </c>
    </row>
    <row r="58" spans="2:6">
      <c r="B58" s="337" t="s">
        <v>294</v>
      </c>
      <c r="C58" s="205">
        <v>1</v>
      </c>
      <c r="D58" s="338">
        <v>17700</v>
      </c>
      <c r="E58" s="339">
        <v>15</v>
      </c>
      <c r="F58" s="217">
        <f>Table5775[[#This Row],[Iterations]]*Table5775[[#This Row],[Unit Cost/EA/SF]]*Table5775[[#This Row],[Square Feet/Each]]</f>
        <v>265500</v>
      </c>
    </row>
    <row r="59" spans="2:6">
      <c r="B59" s="337" t="s">
        <v>297</v>
      </c>
      <c r="C59" s="205">
        <v>1</v>
      </c>
      <c r="D59" s="338">
        <f>1658000-17700</f>
        <v>1640300</v>
      </c>
      <c r="E59" s="339">
        <v>1</v>
      </c>
      <c r="F59" s="217">
        <f>Table5775[[#This Row],[Iterations]]*Table5775[[#This Row],[Unit Cost/EA/SF]]*Table5775[[#This Row],[Square Feet/Each]]</f>
        <v>1640300</v>
      </c>
    </row>
    <row r="60" spans="2:6">
      <c r="B60" s="337" t="s">
        <v>295</v>
      </c>
      <c r="C60" s="205">
        <v>1</v>
      </c>
      <c r="D60" s="338">
        <f>155300-17700</f>
        <v>137600</v>
      </c>
      <c r="E60" s="339">
        <v>1</v>
      </c>
      <c r="F60" s="217">
        <f>Table5775[[#This Row],[Iterations]]*Table5775[[#This Row],[Unit Cost/EA/SF]]*Table5775[[#This Row],[Square Feet/Each]]</f>
        <v>137600</v>
      </c>
    </row>
    <row r="61" spans="2:6">
      <c r="B61" s="337" t="s">
        <v>318</v>
      </c>
      <c r="C61" s="205">
        <v>1</v>
      </c>
      <c r="D61" s="338">
        <f>319500-17700</f>
        <v>301800</v>
      </c>
      <c r="E61" s="339">
        <v>1</v>
      </c>
      <c r="F61" s="217">
        <f>Table5775[[#This Row],[Iterations]]*Table5775[[#This Row],[Unit Cost/EA/SF]]*Table5775[[#This Row],[Square Feet/Each]]</f>
        <v>301800</v>
      </c>
    </row>
    <row r="62" spans="2:6">
      <c r="B62" s="337"/>
      <c r="C62" s="205"/>
      <c r="D62" s="338"/>
      <c r="E62" s="339"/>
      <c r="F62" s="217">
        <f>Table5775[[#This Row],[Iterations]]*Table5775[[#This Row],[Unit Cost/EA/SF]]*Table5775[[#This Row],[Square Feet/Each]]</f>
        <v>0</v>
      </c>
    </row>
    <row r="63" spans="2:6">
      <c r="B63" s="276" t="s">
        <v>289</v>
      </c>
      <c r="C63" s="280"/>
      <c r="D63" s="280"/>
      <c r="E63" s="280"/>
      <c r="F63" s="278">
        <f>SUM(F58:F62)</f>
        <v>2345200</v>
      </c>
    </row>
    <row r="64" spans="2:6">
      <c r="B64" s="272" t="s">
        <v>290</v>
      </c>
      <c r="C64" s="67"/>
      <c r="D64" s="67"/>
      <c r="E64" s="67"/>
      <c r="F64" s="83">
        <f>F63*0.3</f>
        <v>703560</v>
      </c>
    </row>
    <row r="65" spans="2:6">
      <c r="B65" s="279" t="s">
        <v>292</v>
      </c>
      <c r="C65" s="277"/>
      <c r="D65" s="277"/>
      <c r="E65" s="277"/>
      <c r="F65" s="278">
        <f>F63+F64</f>
        <v>3048760</v>
      </c>
    </row>
    <row r="68" spans="2:6">
      <c r="B68" s="413" t="s">
        <v>319</v>
      </c>
      <c r="C68" s="413"/>
      <c r="D68" s="413"/>
      <c r="E68" s="413"/>
      <c r="F68" s="68"/>
    </row>
    <row r="69" spans="2:6">
      <c r="B69" s="167"/>
      <c r="C69" s="167"/>
      <c r="D69" s="167"/>
      <c r="E69" s="167"/>
      <c r="F69" s="68"/>
    </row>
    <row r="70" spans="2:6">
      <c r="B70" s="270" t="s">
        <v>283</v>
      </c>
      <c r="C70" s="135" t="s">
        <v>284</v>
      </c>
      <c r="D70" s="135" t="s">
        <v>285</v>
      </c>
      <c r="E70" s="135" t="s">
        <v>286</v>
      </c>
      <c r="F70" s="271" t="s">
        <v>287</v>
      </c>
    </row>
    <row r="71" spans="2:6">
      <c r="B71" s="337" t="s">
        <v>320</v>
      </c>
      <c r="C71" s="205">
        <v>1</v>
      </c>
      <c r="D71" s="338">
        <f>6510000</f>
        <v>6510000</v>
      </c>
      <c r="E71" s="339">
        <v>1</v>
      </c>
      <c r="F71" s="217">
        <f>Table5779[[#This Row],[Unit Cost/EA/SF]]*Table5779[[#This Row],[Iterations]]</f>
        <v>6510000</v>
      </c>
    </row>
    <row r="72" spans="2:6">
      <c r="B72" s="337" t="s">
        <v>321</v>
      </c>
      <c r="C72" s="205">
        <v>1</v>
      </c>
      <c r="D72" s="338">
        <f>6769000</f>
        <v>6769000</v>
      </c>
      <c r="E72" s="339">
        <v>1</v>
      </c>
      <c r="F72" s="217">
        <f>Table5779[[#This Row],[Iterations]]*Table5779[[#This Row],[Unit Cost/EA/SF]]*Table5779[[#This Row],[Square Feet/Each]]</f>
        <v>6769000</v>
      </c>
    </row>
    <row r="73" spans="2:6">
      <c r="B73" s="276" t="s">
        <v>289</v>
      </c>
      <c r="C73" s="280"/>
      <c r="D73" s="371"/>
      <c r="E73" s="280"/>
      <c r="F73" s="278">
        <f>SUM(F71:F72)</f>
        <v>13279000</v>
      </c>
    </row>
    <row r="74" spans="2:6">
      <c r="B74" s="272" t="s">
        <v>290</v>
      </c>
      <c r="C74" s="67"/>
      <c r="D74" s="137"/>
      <c r="E74" s="67"/>
      <c r="F74" s="83">
        <f>F73*0.3</f>
        <v>3983700</v>
      </c>
    </row>
    <row r="75" spans="2:6">
      <c r="B75" s="272" t="s">
        <v>322</v>
      </c>
      <c r="C75" s="67"/>
      <c r="D75" s="137"/>
      <c r="E75" s="67"/>
      <c r="F75" s="83">
        <v>7787755</v>
      </c>
    </row>
    <row r="76" spans="2:6">
      <c r="B76" s="279" t="s">
        <v>292</v>
      </c>
      <c r="C76" s="277"/>
      <c r="D76" s="372"/>
      <c r="E76" s="277"/>
      <c r="F76" s="278">
        <f>F73+F74+F75</f>
        <v>25050455</v>
      </c>
    </row>
  </sheetData>
  <mergeCells count="13">
    <mergeCell ref="B45:E45"/>
    <mergeCell ref="B55:E55"/>
    <mergeCell ref="B68:E68"/>
    <mergeCell ref="B10:I10"/>
    <mergeCell ref="A1:I1"/>
    <mergeCell ref="B6:I6"/>
    <mergeCell ref="B7:I7"/>
    <mergeCell ref="B8:I8"/>
    <mergeCell ref="B9:I9"/>
    <mergeCell ref="B23:E23"/>
    <mergeCell ref="B33:E33"/>
    <mergeCell ref="B13:E13"/>
    <mergeCell ref="E37:F42"/>
  </mergeCells>
  <pageMargins left="0.7" right="0.7" top="0.75" bottom="0.75" header="0.3" footer="0.3"/>
  <pageSetup scale="53" orientation="portrait" r:id="rId1"/>
  <drawing r:id="rId2"/>
  <tableParts count="6">
    <tablePart r:id="rId3"/>
    <tablePart r:id="rId4"/>
    <tablePart r:id="rId5"/>
    <tablePart r:id="rId6"/>
    <tablePart r:id="rId7"/>
    <tablePart r:id="rId8"/>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E61C47-F52A-45CF-AFB3-1BDF739BAA5F}">
  <sheetPr>
    <tabColor theme="9"/>
    <pageSetUpPr fitToPage="1"/>
  </sheetPr>
  <dimension ref="A1:J65"/>
  <sheetViews>
    <sheetView showGridLines="0" zoomScale="85" zoomScaleNormal="85" workbookViewId="0">
      <selection activeCell="A7" sqref="A7"/>
    </sheetView>
  </sheetViews>
  <sheetFormatPr defaultColWidth="9.140625" defaultRowHeight="12.75"/>
  <cols>
    <col min="1" max="1" width="15.28515625" style="272" customWidth="1"/>
    <col min="2" max="2" width="15.7109375" style="67" customWidth="1"/>
    <col min="3" max="3" width="19.42578125" style="67" customWidth="1"/>
    <col min="4" max="4" width="22.42578125" style="67" bestFit="1" customWidth="1"/>
    <col min="5" max="5" width="20.7109375" style="290" bestFit="1" customWidth="1"/>
    <col min="6" max="6" width="19.140625" style="67" bestFit="1" customWidth="1"/>
    <col min="7" max="7" width="38.5703125" style="67" customWidth="1"/>
    <col min="8" max="8" width="15.7109375" style="67" customWidth="1"/>
    <col min="9" max="9" width="8.7109375" style="67" customWidth="1"/>
    <col min="10" max="16384" width="9.140625" style="67"/>
  </cols>
  <sheetData>
    <row r="1" spans="1:10" ht="15" customHeight="1">
      <c r="A1" s="150" t="s">
        <v>323</v>
      </c>
      <c r="B1" s="336"/>
      <c r="C1" s="336"/>
      <c r="D1" s="336"/>
      <c r="E1" s="336"/>
      <c r="F1" s="336"/>
      <c r="G1" s="336"/>
      <c r="H1" s="336"/>
      <c r="I1" s="336"/>
    </row>
    <row r="2" spans="1:10" ht="15" customHeight="1">
      <c r="A2" s="140" t="s">
        <v>1</v>
      </c>
      <c r="B2" s="63" t="str">
        <f>Project_Name</f>
        <v>Right-Sizing Route 37: Improving Community Connectivity</v>
      </c>
    </row>
    <row r="3" spans="1:10" ht="15" customHeight="1">
      <c r="A3" s="140" t="s">
        <v>3</v>
      </c>
      <c r="B3" s="72">
        <f>Date</f>
        <v>44985</v>
      </c>
    </row>
    <row r="4" spans="1:10" ht="15" customHeight="1">
      <c r="B4" s="65"/>
    </row>
    <row r="5" spans="1:10" ht="13.5" thickBot="1"/>
    <row r="6" spans="1:10" ht="240" customHeight="1" thickBot="1">
      <c r="A6" s="410" t="s">
        <v>324</v>
      </c>
      <c r="B6" s="411"/>
      <c r="C6" s="411"/>
      <c r="D6" s="411"/>
      <c r="E6" s="411"/>
      <c r="F6" s="411"/>
      <c r="G6" s="411"/>
      <c r="H6" s="411"/>
      <c r="I6" s="412"/>
    </row>
    <row r="7" spans="1:10">
      <c r="A7" s="128"/>
      <c r="B7" s="81"/>
      <c r="C7" s="81"/>
      <c r="D7" s="81"/>
      <c r="E7" s="80"/>
      <c r="F7" s="81"/>
      <c r="G7" s="81"/>
      <c r="H7" s="81"/>
      <c r="I7" s="81"/>
    </row>
    <row r="8" spans="1:10">
      <c r="A8" s="128"/>
      <c r="C8" s="71" t="s">
        <v>325</v>
      </c>
      <c r="D8" s="81"/>
      <c r="E8" s="81"/>
      <c r="G8" s="80"/>
      <c r="H8" s="81"/>
      <c r="I8" s="81"/>
    </row>
    <row r="9" spans="1:10">
      <c r="A9" s="128"/>
      <c r="C9" s="81"/>
      <c r="D9" s="81"/>
      <c r="E9" s="81"/>
      <c r="G9" s="80"/>
      <c r="H9" s="81"/>
      <c r="I9" s="81"/>
    </row>
    <row r="10" spans="1:10">
      <c r="A10" s="128"/>
      <c r="C10" s="123" t="s">
        <v>326</v>
      </c>
      <c r="D10" s="123" t="s">
        <v>327</v>
      </c>
      <c r="E10" s="287" t="s">
        <v>328</v>
      </c>
      <c r="F10" s="287" t="s">
        <v>101</v>
      </c>
      <c r="G10" s="123" t="s">
        <v>329</v>
      </c>
      <c r="H10" s="81"/>
      <c r="I10" s="81"/>
    </row>
    <row r="11" spans="1:10">
      <c r="A11" s="128"/>
      <c r="B11" s="81"/>
      <c r="C11" s="81"/>
      <c r="D11" s="288"/>
      <c r="E11" s="127"/>
      <c r="F11" s="127"/>
      <c r="H11" s="81"/>
      <c r="I11" s="81"/>
      <c r="J11" s="81"/>
    </row>
    <row r="12" spans="1:10">
      <c r="A12" s="128"/>
      <c r="B12" s="81"/>
      <c r="C12" s="81"/>
      <c r="D12" s="288"/>
      <c r="E12" s="127"/>
      <c r="F12" s="127"/>
      <c r="H12" s="81"/>
      <c r="I12" s="81"/>
      <c r="J12" s="81"/>
    </row>
    <row r="13" spans="1:10">
      <c r="A13" s="128"/>
      <c r="B13" s="81"/>
      <c r="C13" s="81" t="s">
        <v>26</v>
      </c>
      <c r="D13" s="289">
        <f>SUBTOTAL(109,Table4.1_ForegoneSummary63[Annual Ridership])</f>
        <v>0</v>
      </c>
      <c r="E13" s="127">
        <f>SUBTOTAL(109,Table4.1_ForegoneSummary63[Annual Benefit])</f>
        <v>0</v>
      </c>
      <c r="F13" s="127">
        <f>SUBTOTAL(109,Table4.1_ForegoneSummary63[30-Year Total])</f>
        <v>0</v>
      </c>
      <c r="G13" s="169"/>
      <c r="H13" s="81"/>
      <c r="I13" s="81"/>
      <c r="J13" s="81"/>
    </row>
    <row r="14" spans="1:10">
      <c r="A14" s="128"/>
      <c r="B14" s="81"/>
      <c r="C14" s="81"/>
      <c r="D14" s="81"/>
      <c r="E14" s="80"/>
      <c r="F14" s="81"/>
      <c r="G14" s="81"/>
      <c r="H14" s="81"/>
      <c r="I14" s="81"/>
    </row>
    <row r="15" spans="1:10">
      <c r="A15" s="128"/>
      <c r="B15" s="81"/>
      <c r="C15" s="81"/>
      <c r="D15" s="81"/>
      <c r="E15" s="80"/>
      <c r="F15" s="81"/>
      <c r="G15" s="81"/>
      <c r="H15" s="81"/>
      <c r="I15" s="81"/>
    </row>
    <row r="16" spans="1:10">
      <c r="A16" s="128"/>
      <c r="B16" s="81"/>
      <c r="C16" s="81"/>
      <c r="D16" s="81"/>
      <c r="E16" s="80"/>
      <c r="F16" s="81"/>
      <c r="G16" s="81"/>
      <c r="H16" s="81"/>
      <c r="I16" s="81"/>
    </row>
    <row r="17" spans="1:9">
      <c r="A17" s="128"/>
      <c r="B17" s="81"/>
      <c r="C17" s="81"/>
      <c r="D17" s="81"/>
      <c r="E17" s="80"/>
      <c r="F17" s="81"/>
      <c r="G17" s="81"/>
      <c r="H17" s="81"/>
      <c r="I17" s="81"/>
    </row>
    <row r="18" spans="1:9">
      <c r="A18" s="128"/>
      <c r="B18" s="81"/>
      <c r="C18" s="81"/>
      <c r="D18" s="81"/>
      <c r="E18" s="80"/>
      <c r="F18" s="81"/>
      <c r="G18" s="81"/>
      <c r="H18" s="81"/>
      <c r="I18" s="81"/>
    </row>
    <row r="19" spans="1:9">
      <c r="A19" s="128"/>
      <c r="B19" s="81"/>
      <c r="C19" s="81"/>
      <c r="D19" s="81"/>
      <c r="E19" s="80"/>
      <c r="F19" s="81"/>
      <c r="G19" s="81"/>
      <c r="H19" s="81"/>
      <c r="I19" s="81"/>
    </row>
    <row r="20" spans="1:9">
      <c r="A20" s="128"/>
      <c r="B20" s="81"/>
      <c r="C20" s="81"/>
      <c r="D20" s="81"/>
      <c r="E20" s="80"/>
      <c r="F20" s="81"/>
      <c r="G20" s="81"/>
      <c r="H20" s="81"/>
      <c r="I20" s="81"/>
    </row>
    <row r="21" spans="1:9">
      <c r="A21" s="128"/>
      <c r="B21" s="81"/>
      <c r="C21" s="81"/>
      <c r="D21" s="81"/>
      <c r="E21" s="80"/>
      <c r="F21" s="81"/>
      <c r="G21" s="81"/>
      <c r="H21" s="81"/>
      <c r="I21" s="81"/>
    </row>
    <row r="22" spans="1:9">
      <c r="A22" s="128"/>
      <c r="B22" s="81"/>
      <c r="C22" s="81"/>
      <c r="D22" s="81"/>
      <c r="E22" s="80"/>
      <c r="F22" s="81"/>
      <c r="G22" s="81"/>
      <c r="H22" s="81"/>
      <c r="I22" s="81"/>
    </row>
    <row r="23" spans="1:9">
      <c r="A23" s="128"/>
      <c r="B23" s="81"/>
      <c r="C23" s="81"/>
      <c r="D23" s="81"/>
      <c r="E23" s="80"/>
      <c r="F23" s="81"/>
      <c r="G23" s="81"/>
      <c r="H23" s="81"/>
      <c r="I23" s="81"/>
    </row>
    <row r="24" spans="1:9">
      <c r="A24" s="128"/>
      <c r="B24" s="81"/>
      <c r="C24" s="81"/>
      <c r="D24" s="81"/>
      <c r="E24" s="81"/>
      <c r="F24" s="81"/>
      <c r="G24" s="81"/>
      <c r="H24" s="81"/>
      <c r="I24" s="81"/>
    </row>
    <row r="25" spans="1:9" s="81" customFormat="1">
      <c r="D25" s="67"/>
      <c r="E25" s="290"/>
      <c r="F25" s="67"/>
    </row>
    <row r="33" spans="2:5" s="272" customFormat="1" ht="15" customHeight="1">
      <c r="B33" s="67"/>
      <c r="C33" s="67"/>
      <c r="D33" s="67"/>
      <c r="E33" s="290"/>
    </row>
    <row r="40" spans="2:5" s="272" customFormat="1" ht="28.5" customHeight="1">
      <c r="B40" s="67"/>
      <c r="C40" s="67"/>
      <c r="D40" s="67"/>
      <c r="E40" s="290"/>
    </row>
    <row r="43" spans="2:5" s="272" customFormat="1" ht="15" customHeight="1">
      <c r="B43" s="67"/>
      <c r="C43" s="67"/>
      <c r="D43" s="67"/>
      <c r="E43" s="290"/>
    </row>
    <row r="45" spans="2:5" s="272" customFormat="1" ht="15" customHeight="1">
      <c r="B45" s="67"/>
      <c r="C45" s="67"/>
      <c r="D45" s="67"/>
      <c r="E45" s="290"/>
    </row>
    <row r="54" spans="5:6" ht="15" customHeight="1"/>
    <row r="63" spans="5:6">
      <c r="E63" s="67"/>
    </row>
    <row r="64" spans="5:6" s="67" customFormat="1">
      <c r="E64" s="291"/>
      <c r="F64" s="141"/>
    </row>
    <row r="65" spans="1:1">
      <c r="A65" s="67"/>
    </row>
  </sheetData>
  <mergeCells count="1">
    <mergeCell ref="A6:I6"/>
  </mergeCells>
  <pageMargins left="0.7" right="0.7" top="0.75" bottom="0.75" header="0.3" footer="0.3"/>
  <pageSetup paperSize="3" fitToHeight="0" orientation="landscape" r:id="rId1"/>
  <drawing r:id="rId2"/>
  <tableParts count="1">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5F177-9A15-44BB-AF98-9EBE17EAE134}">
  <sheetPr>
    <tabColor theme="0" tint="-0.249977111117893"/>
    <pageSetUpPr fitToPage="1"/>
  </sheetPr>
  <dimension ref="A1:M35"/>
  <sheetViews>
    <sheetView showGridLines="0" workbookViewId="0">
      <selection activeCell="D32" sqref="D32"/>
    </sheetView>
  </sheetViews>
  <sheetFormatPr defaultRowHeight="12.75"/>
  <cols>
    <col min="1" max="1" width="21.7109375" customWidth="1"/>
    <col min="2" max="2" width="36.42578125" bestFit="1" customWidth="1"/>
    <col min="3" max="3" width="18.140625" customWidth="1"/>
    <col min="4" max="4" width="18" customWidth="1"/>
    <col min="5" max="6" width="15.7109375" customWidth="1"/>
    <col min="7" max="7" width="16.140625" customWidth="1"/>
    <col min="8" max="8" width="15.7109375" customWidth="1"/>
    <col min="9" max="9" width="25.7109375" customWidth="1"/>
    <col min="13" max="13" width="45" bestFit="1" customWidth="1"/>
  </cols>
  <sheetData>
    <row r="1" spans="1:13" ht="15" customHeight="1">
      <c r="A1" s="433" t="s">
        <v>330</v>
      </c>
      <c r="B1" s="434"/>
      <c r="C1" s="434"/>
      <c r="D1" s="434"/>
      <c r="E1" s="434"/>
      <c r="F1" s="434"/>
      <c r="G1" s="434"/>
      <c r="H1" s="434"/>
      <c r="I1" s="434"/>
    </row>
    <row r="2" spans="1:13" ht="15" customHeight="1">
      <c r="A2" s="87" t="s">
        <v>1</v>
      </c>
      <c r="B2" s="71" t="str">
        <f>Project_Name</f>
        <v>Right-Sizing Route 37: Improving Community Connectivity</v>
      </c>
      <c r="C2" s="82"/>
      <c r="D2" s="82"/>
      <c r="E2" s="82"/>
      <c r="F2" s="82"/>
      <c r="G2" s="82"/>
      <c r="H2" s="82"/>
      <c r="I2" s="82"/>
    </row>
    <row r="3" spans="1:13" ht="15" customHeight="1">
      <c r="A3" s="87" t="s">
        <v>3</v>
      </c>
      <c r="B3" s="88">
        <f>Date</f>
        <v>44985</v>
      </c>
      <c r="C3" s="82"/>
      <c r="D3" s="82"/>
      <c r="E3" s="82"/>
      <c r="F3" s="82"/>
      <c r="G3" s="82"/>
      <c r="H3" s="82"/>
      <c r="I3" s="82"/>
    </row>
    <row r="4" spans="1:13" ht="30" customHeight="1" thickBot="1">
      <c r="A4" s="82"/>
      <c r="B4" s="82"/>
      <c r="C4" s="82"/>
      <c r="D4" s="82"/>
      <c r="E4" s="82"/>
      <c r="F4" s="82"/>
      <c r="G4" s="82"/>
      <c r="H4" s="82"/>
      <c r="I4" s="82"/>
    </row>
    <row r="5" spans="1:13" ht="30" customHeight="1" thickBot="1">
      <c r="A5" s="102" t="s">
        <v>103</v>
      </c>
      <c r="B5" s="430"/>
      <c r="C5" s="431"/>
      <c r="D5" s="431"/>
      <c r="E5" s="431"/>
      <c r="F5" s="431"/>
      <c r="G5" s="431"/>
      <c r="H5" s="431"/>
      <c r="I5" s="432"/>
    </row>
    <row r="6" spans="1:13" ht="30" customHeight="1" thickBot="1">
      <c r="A6" s="102" t="s">
        <v>105</v>
      </c>
      <c r="B6" s="430"/>
      <c r="C6" s="431"/>
      <c r="D6" s="431"/>
      <c r="E6" s="431"/>
      <c r="F6" s="431"/>
      <c r="G6" s="431"/>
      <c r="H6" s="431"/>
      <c r="I6" s="432"/>
    </row>
    <row r="7" spans="1:13" ht="30" customHeight="1" thickBot="1">
      <c r="A7" s="102" t="s">
        <v>107</v>
      </c>
      <c r="B7" s="430"/>
      <c r="C7" s="431"/>
      <c r="D7" s="431"/>
      <c r="E7" s="431"/>
      <c r="F7" s="431"/>
      <c r="G7" s="431"/>
      <c r="H7" s="431"/>
      <c r="I7" s="432"/>
    </row>
    <row r="8" spans="1:13" ht="30" customHeight="1" thickBot="1">
      <c r="A8" s="102" t="s">
        <v>109</v>
      </c>
      <c r="B8" s="430"/>
      <c r="C8" s="431"/>
      <c r="D8" s="431"/>
      <c r="E8" s="431"/>
      <c r="F8" s="431"/>
      <c r="G8" s="431"/>
      <c r="H8" s="431"/>
      <c r="I8" s="432"/>
    </row>
    <row r="9" spans="1:13" ht="30" customHeight="1" thickBot="1">
      <c r="A9" s="102" t="s">
        <v>111</v>
      </c>
      <c r="B9" s="430"/>
      <c r="C9" s="431"/>
      <c r="D9" s="431"/>
      <c r="E9" s="431"/>
      <c r="F9" s="431"/>
      <c r="G9" s="431"/>
      <c r="H9" s="431"/>
      <c r="I9" s="432"/>
    </row>
    <row r="12" spans="1:13" ht="15">
      <c r="A12" s="299" t="s">
        <v>331</v>
      </c>
      <c r="B12" s="231"/>
      <c r="C12" s="231"/>
      <c r="D12" s="231"/>
      <c r="E12" s="231"/>
      <c r="F12" s="231"/>
      <c r="G12" s="232"/>
      <c r="H12" s="232"/>
      <c r="I12" s="232"/>
      <c r="J12" s="232"/>
      <c r="K12" s="232"/>
      <c r="L12" s="232"/>
      <c r="M12" s="232"/>
    </row>
    <row r="13" spans="1:13" ht="15">
      <c r="A13" s="231"/>
      <c r="B13" s="231"/>
      <c r="C13" s="231"/>
      <c r="D13" s="231"/>
      <c r="E13" s="231"/>
      <c r="F13" s="231"/>
      <c r="G13" s="232"/>
      <c r="H13" s="232"/>
      <c r="I13" s="232"/>
      <c r="J13" s="232"/>
      <c r="K13" s="232"/>
      <c r="L13" s="232"/>
      <c r="M13" s="232"/>
    </row>
    <row r="14" spans="1:13">
      <c r="A14" s="300" t="s">
        <v>332</v>
      </c>
      <c r="B14" s="300" t="s">
        <v>333</v>
      </c>
      <c r="C14" s="301" t="s">
        <v>334</v>
      </c>
      <c r="D14" s="301" t="s">
        <v>335</v>
      </c>
      <c r="E14" s="300" t="s">
        <v>336</v>
      </c>
      <c r="F14" s="300" t="s">
        <v>337</v>
      </c>
      <c r="G14" s="300" t="s">
        <v>338</v>
      </c>
      <c r="H14" s="300" t="s">
        <v>339</v>
      </c>
      <c r="I14" s="300" t="s">
        <v>329</v>
      </c>
    </row>
    <row r="15" spans="1:13">
      <c r="A15" s="337"/>
      <c r="B15" s="337"/>
      <c r="C15" s="337"/>
      <c r="D15" s="337"/>
      <c r="E15" s="337"/>
      <c r="F15" s="337"/>
      <c r="G15" s="338"/>
      <c r="H15" s="338"/>
      <c r="I15" s="337"/>
    </row>
    <row r="16" spans="1:13">
      <c r="A16" s="337"/>
      <c r="B16" s="337"/>
      <c r="C16" s="349"/>
      <c r="D16" s="349"/>
      <c r="E16" s="337"/>
      <c r="F16" s="337"/>
      <c r="G16" s="338"/>
      <c r="H16" s="338"/>
      <c r="I16" s="337"/>
    </row>
    <row r="17" spans="1:10">
      <c r="A17" s="337"/>
      <c r="B17" s="337"/>
      <c r="C17" s="349"/>
      <c r="D17" s="349"/>
      <c r="E17" s="337"/>
      <c r="F17" s="337"/>
      <c r="G17" s="338"/>
      <c r="H17" s="338"/>
      <c r="I17" s="337"/>
    </row>
    <row r="18" spans="1:10">
      <c r="A18" s="337"/>
      <c r="B18" s="337"/>
      <c r="C18" s="349"/>
      <c r="D18" s="349"/>
      <c r="E18" s="337"/>
      <c r="F18" s="337"/>
      <c r="G18" s="338"/>
      <c r="H18" s="338"/>
      <c r="I18" s="337"/>
    </row>
    <row r="19" spans="1:10">
      <c r="A19" s="337"/>
      <c r="B19" s="337"/>
      <c r="C19" s="349"/>
      <c r="D19" s="349"/>
      <c r="E19" s="337"/>
      <c r="F19" s="337"/>
      <c r="G19" s="338"/>
      <c r="H19" s="338"/>
      <c r="I19" s="337"/>
    </row>
    <row r="20" spans="1:10">
      <c r="A20" s="337"/>
      <c r="B20" s="337"/>
      <c r="C20" s="349"/>
      <c r="D20" s="349"/>
      <c r="E20" s="337"/>
      <c r="F20" s="337"/>
      <c r="G20" s="338"/>
      <c r="H20" s="338"/>
      <c r="I20" s="337"/>
    </row>
    <row r="21" spans="1:10">
      <c r="A21" s="337"/>
      <c r="B21" s="337"/>
      <c r="C21" s="349"/>
      <c r="D21" s="349"/>
      <c r="E21" s="337"/>
      <c r="F21" s="337"/>
      <c r="G21" s="338"/>
      <c r="H21" s="338"/>
      <c r="I21" s="337"/>
    </row>
    <row r="22" spans="1:10">
      <c r="A22" s="337"/>
      <c r="B22" s="337"/>
      <c r="C22" s="349"/>
      <c r="D22" s="349"/>
      <c r="E22" s="337"/>
      <c r="F22" s="337"/>
      <c r="G22" s="338"/>
      <c r="H22" s="338"/>
      <c r="I22" s="337"/>
    </row>
    <row r="23" spans="1:10">
      <c r="A23" s="337"/>
      <c r="B23" s="337"/>
      <c r="C23" s="349"/>
      <c r="D23" s="349"/>
      <c r="E23" s="337"/>
      <c r="F23" s="337"/>
      <c r="G23" s="338"/>
      <c r="H23" s="338"/>
      <c r="I23" s="337"/>
    </row>
    <row r="24" spans="1:10">
      <c r="A24" s="337"/>
      <c r="B24" s="337"/>
      <c r="C24" s="349"/>
      <c r="D24" s="349"/>
      <c r="E24" s="337"/>
      <c r="F24" s="337"/>
      <c r="G24" s="338"/>
      <c r="H24" s="338"/>
      <c r="I24" s="337"/>
    </row>
    <row r="25" spans="1:10">
      <c r="A25" s="61"/>
      <c r="B25" s="61"/>
      <c r="C25" s="61"/>
      <c r="D25" s="61"/>
      <c r="E25" s="61"/>
      <c r="F25" s="61"/>
      <c r="G25" s="295"/>
      <c r="H25" s="295"/>
      <c r="I25" s="296"/>
      <c r="J25" s="226"/>
    </row>
    <row r="26" spans="1:10">
      <c r="A26" s="61"/>
      <c r="B26" s="61"/>
      <c r="C26" s="61"/>
      <c r="D26" s="61"/>
      <c r="E26" s="61"/>
      <c r="F26" s="61"/>
      <c r="G26" s="63" t="s">
        <v>340</v>
      </c>
      <c r="H26" s="293">
        <f>SUM(G25:H25)</f>
        <v>0</v>
      </c>
      <c r="I26" s="293"/>
      <c r="J26" s="226"/>
    </row>
    <row r="27" spans="1:10">
      <c r="A27" s="61"/>
      <c r="B27" s="61"/>
      <c r="C27" s="61"/>
      <c r="D27" s="61"/>
      <c r="E27" s="61"/>
      <c r="F27" s="61"/>
      <c r="G27" s="63" t="s">
        <v>328</v>
      </c>
      <c r="H27" s="293">
        <f>H26*365</f>
        <v>0</v>
      </c>
      <c r="I27" s="61"/>
    </row>
    <row r="28" spans="1:10">
      <c r="A28" s="294"/>
      <c r="B28" s="61"/>
      <c r="C28" s="61"/>
      <c r="D28" s="61"/>
      <c r="E28" s="61"/>
      <c r="F28" s="61"/>
      <c r="G28" s="61"/>
      <c r="H28" s="61"/>
      <c r="I28" s="61"/>
    </row>
    <row r="29" spans="1:10">
      <c r="A29" s="297"/>
      <c r="B29" s="61"/>
      <c r="C29" s="61"/>
      <c r="D29" s="61"/>
      <c r="E29" s="61"/>
      <c r="F29" s="61"/>
      <c r="G29" s="61"/>
      <c r="H29" s="61"/>
      <c r="I29" s="61"/>
    </row>
    <row r="30" spans="1:10">
      <c r="A30" s="297"/>
      <c r="B30" s="61"/>
      <c r="C30" s="61"/>
      <c r="D30" s="61"/>
      <c r="E30" s="61"/>
      <c r="F30" s="61"/>
      <c r="G30" s="61"/>
      <c r="H30" s="61"/>
      <c r="I30" s="61"/>
    </row>
    <row r="31" spans="1:10">
      <c r="A31" s="298"/>
      <c r="B31" s="61"/>
      <c r="C31" s="61"/>
      <c r="D31" s="61"/>
      <c r="E31" s="61"/>
      <c r="F31" s="61"/>
      <c r="G31" s="61"/>
      <c r="H31" s="61"/>
      <c r="I31" s="61"/>
    </row>
    <row r="32" spans="1:10">
      <c r="A32" s="297"/>
      <c r="B32" s="61"/>
      <c r="C32" s="61"/>
      <c r="D32" s="61"/>
      <c r="E32" s="61"/>
      <c r="F32" s="61"/>
      <c r="G32" s="61"/>
      <c r="H32" s="61"/>
      <c r="I32" s="61"/>
    </row>
    <row r="33" spans="1:9">
      <c r="A33" s="297"/>
      <c r="B33" s="61"/>
      <c r="C33" s="61"/>
      <c r="D33" s="61"/>
      <c r="E33" s="61"/>
      <c r="F33" s="61"/>
      <c r="G33" s="61"/>
      <c r="H33" s="61"/>
      <c r="I33" s="61"/>
    </row>
    <row r="34" spans="1:9">
      <c r="A34" s="297"/>
      <c r="B34" s="61"/>
      <c r="C34" s="61"/>
      <c r="D34" s="61"/>
      <c r="E34" s="61"/>
      <c r="F34" s="61"/>
      <c r="G34" s="61"/>
      <c r="H34" s="61"/>
      <c r="I34" s="61"/>
    </row>
    <row r="35" spans="1:9">
      <c r="A35" s="297"/>
      <c r="B35" s="61"/>
      <c r="C35" s="61"/>
      <c r="D35" s="61"/>
      <c r="E35" s="61"/>
      <c r="F35" s="61"/>
      <c r="G35" s="61"/>
      <c r="H35" s="61"/>
      <c r="I35" s="61"/>
    </row>
  </sheetData>
  <mergeCells count="6">
    <mergeCell ref="B9:I9"/>
    <mergeCell ref="A1:I1"/>
    <mergeCell ref="B5:I5"/>
    <mergeCell ref="B6:I6"/>
    <mergeCell ref="B7:I7"/>
    <mergeCell ref="B8:I8"/>
  </mergeCells>
  <pageMargins left="0.7" right="0.7" top="0.75" bottom="0.75" header="0.3" footer="0.3"/>
  <pageSetup scale="67" fitToHeight="0" orientation="landscape" r:id="rId1"/>
  <drawing r:id="rId2"/>
  <tableParts count="1">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195C2-2484-4CE9-835E-5E4C28791FAF}">
  <sheetPr>
    <tabColor theme="9"/>
    <pageSetUpPr fitToPage="1"/>
  </sheetPr>
  <dimension ref="A1:M57"/>
  <sheetViews>
    <sheetView showGridLines="0" view="pageBreakPreview" zoomScale="115" zoomScaleNormal="80" zoomScaleSheetLayoutView="115" workbookViewId="0">
      <selection activeCell="A6" sqref="A6:I11"/>
    </sheetView>
  </sheetViews>
  <sheetFormatPr defaultColWidth="9.140625" defaultRowHeight="12.75"/>
  <cols>
    <col min="1" max="1" width="12.85546875" style="76" bestFit="1" customWidth="1"/>
    <col min="2" max="2" width="30" style="61" bestFit="1" customWidth="1"/>
    <col min="3" max="3" width="13.5703125" style="61" customWidth="1"/>
    <col min="4" max="4" width="32.85546875" style="61" customWidth="1"/>
    <col min="5" max="5" width="23.140625" style="78" customWidth="1"/>
    <col min="6" max="6" width="15" style="61" customWidth="1"/>
    <col min="7" max="7" width="19.42578125" style="61" hidden="1" customWidth="1"/>
    <col min="8" max="8" width="14.85546875" style="61" customWidth="1"/>
    <col min="9" max="9" width="10.7109375" style="61" customWidth="1"/>
    <col min="10" max="10" width="1.28515625" style="61" customWidth="1"/>
    <col min="11" max="16384" width="9.140625" style="61"/>
  </cols>
  <sheetData>
    <row r="1" spans="1:9" ht="15" customHeight="1">
      <c r="A1" s="464" t="s">
        <v>341</v>
      </c>
      <c r="B1" s="465"/>
      <c r="C1" s="465"/>
      <c r="D1" s="465"/>
      <c r="E1" s="465"/>
      <c r="F1" s="465"/>
      <c r="G1" s="465"/>
      <c r="H1" s="465"/>
      <c r="I1" s="465"/>
    </row>
    <row r="2" spans="1:9" ht="15" customHeight="1">
      <c r="A2" s="62" t="s">
        <v>1</v>
      </c>
      <c r="B2" s="63" t="str">
        <f>Project_Name</f>
        <v>Right-Sizing Route 37: Improving Community Connectivity</v>
      </c>
    </row>
    <row r="3" spans="1:9" ht="15" customHeight="1">
      <c r="A3" s="62" t="s">
        <v>3</v>
      </c>
      <c r="B3" s="72">
        <f>Date</f>
        <v>44985</v>
      </c>
    </row>
    <row r="4" spans="1:9" ht="15" customHeight="1">
      <c r="B4" s="79"/>
    </row>
    <row r="5" spans="1:9" ht="13.5" thickBot="1"/>
    <row r="6" spans="1:9" ht="342.75" customHeight="1" thickBot="1">
      <c r="A6" s="469" t="s">
        <v>658</v>
      </c>
      <c r="B6" s="470"/>
      <c r="C6" s="470"/>
      <c r="D6" s="470"/>
      <c r="E6" s="470"/>
      <c r="F6" s="470"/>
      <c r="G6" s="470"/>
      <c r="H6" s="470"/>
      <c r="I6" s="471"/>
    </row>
    <row r="7" spans="1:9">
      <c r="A7" s="128"/>
      <c r="B7" s="81"/>
      <c r="C7" s="81"/>
      <c r="D7" s="81"/>
      <c r="E7" s="80"/>
      <c r="F7" s="81"/>
      <c r="G7" s="81"/>
      <c r="H7" s="81"/>
      <c r="I7" s="81"/>
    </row>
    <row r="8" spans="1:9">
      <c r="A8" s="128"/>
      <c r="B8" s="71" t="s">
        <v>659</v>
      </c>
      <c r="C8" s="81"/>
      <c r="D8" s="81"/>
      <c r="E8" s="80"/>
      <c r="F8" s="81"/>
      <c r="G8" s="81"/>
    </row>
    <row r="9" spans="1:9">
      <c r="A9" s="128"/>
      <c r="B9" s="81"/>
      <c r="C9" s="81"/>
      <c r="D9" s="81"/>
      <c r="E9" s="80"/>
      <c r="F9" s="81"/>
      <c r="G9" s="81"/>
    </row>
    <row r="10" spans="1:9" ht="25.5">
      <c r="A10" s="128"/>
      <c r="B10" s="123" t="s">
        <v>342</v>
      </c>
      <c r="C10" s="123" t="s">
        <v>343</v>
      </c>
      <c r="D10" s="123" t="s">
        <v>344</v>
      </c>
      <c r="E10" s="123" t="s">
        <v>345</v>
      </c>
      <c r="F10" s="287" t="s">
        <v>346</v>
      </c>
      <c r="G10" s="123"/>
      <c r="H10" s="81"/>
    </row>
    <row r="11" spans="1:9">
      <c r="A11" s="128"/>
      <c r="B11" s="81" t="s">
        <v>347</v>
      </c>
      <c r="C11" s="380">
        <v>44620</v>
      </c>
      <c r="D11" s="80">
        <v>1050000</v>
      </c>
      <c r="E11" s="381">
        <v>1.01</v>
      </c>
      <c r="F11" s="389">
        <v>1039603.9603960396</v>
      </c>
      <c r="G11" s="81"/>
      <c r="H11" s="81"/>
      <c r="I11" s="81"/>
    </row>
    <row r="12" spans="1:9">
      <c r="A12" s="128"/>
      <c r="B12" s="81" t="s">
        <v>348</v>
      </c>
      <c r="C12" s="380">
        <v>43839</v>
      </c>
      <c r="D12" s="80">
        <v>950000</v>
      </c>
      <c r="E12" s="381">
        <v>0.38</v>
      </c>
      <c r="F12" s="389">
        <v>2500000</v>
      </c>
      <c r="G12" s="81"/>
      <c r="H12" s="81"/>
      <c r="I12" s="81"/>
    </row>
    <row r="13" spans="1:9">
      <c r="A13" s="128"/>
      <c r="B13" s="81" t="s">
        <v>349</v>
      </c>
      <c r="C13" s="380">
        <v>44533</v>
      </c>
      <c r="D13" s="80">
        <v>1883000</v>
      </c>
      <c r="E13" s="381">
        <v>0.63</v>
      </c>
      <c r="F13" s="389">
        <v>2988888.888888889</v>
      </c>
      <c r="G13" s="81"/>
      <c r="H13" s="81"/>
      <c r="I13" s="81"/>
    </row>
    <row r="14" spans="1:9">
      <c r="A14" s="128"/>
      <c r="B14" s="81" t="s">
        <v>350</v>
      </c>
      <c r="C14" s="380">
        <v>44579</v>
      </c>
      <c r="D14" s="80">
        <v>1925000</v>
      </c>
      <c r="E14" s="381">
        <v>1.73</v>
      </c>
      <c r="F14" s="389">
        <v>1112716.7630057803</v>
      </c>
      <c r="G14" s="81"/>
      <c r="H14" s="81"/>
      <c r="I14" s="81"/>
    </row>
    <row r="15" spans="1:9">
      <c r="A15" s="128"/>
      <c r="B15" s="81" t="s">
        <v>351</v>
      </c>
      <c r="C15" s="380">
        <v>43839</v>
      </c>
      <c r="D15" s="80">
        <v>655000</v>
      </c>
      <c r="E15" s="381">
        <v>0.62</v>
      </c>
      <c r="F15" s="389">
        <v>1056451.6129032257</v>
      </c>
      <c r="G15" s="81"/>
      <c r="H15" s="81"/>
      <c r="I15" s="81"/>
    </row>
    <row r="16" spans="1:9">
      <c r="A16" s="128"/>
      <c r="B16" s="81" t="s">
        <v>26</v>
      </c>
      <c r="C16" s="374">
        <f>SUBTOTAL(109,Table4.1_ForegoneSummary84[Last Sale Date])</f>
        <v>221410</v>
      </c>
      <c r="D16" s="374"/>
      <c r="E16" s="374"/>
      <c r="F16" s="375">
        <f>SUBTOTAL(109,Table4.1_ForegoneSummary84[Land Value Per Acre])</f>
        <v>8697661.2251939345</v>
      </c>
      <c r="G16" s="128"/>
      <c r="H16" s="81"/>
      <c r="I16" s="81"/>
    </row>
    <row r="17" spans="1:13">
      <c r="A17" s="128"/>
      <c r="B17" s="81"/>
      <c r="C17" s="286"/>
      <c r="D17" s="127"/>
      <c r="E17" s="91" t="s">
        <v>127</v>
      </c>
      <c r="F17" s="382">
        <f>AVERAGE(Table4.1_ForegoneSummary84[Land Value Per Acre])</f>
        <v>1739532.2450387869</v>
      </c>
      <c r="G17" s="81"/>
    </row>
    <row r="18" spans="1:13">
      <c r="C18" s="78"/>
      <c r="E18" s="91" t="s">
        <v>352</v>
      </c>
      <c r="F18" s="382">
        <f>MIN(Table4.1_ForegoneSummary84[Land Value Per Acre])</f>
        <v>1039603.9603960396</v>
      </c>
    </row>
    <row r="19" spans="1:13">
      <c r="C19" s="78"/>
      <c r="E19" s="91" t="s">
        <v>353</v>
      </c>
      <c r="F19" s="382">
        <f>MAX(Table4.1_ForegoneSummary84[Land Value Per Acre])</f>
        <v>2988888.888888889</v>
      </c>
    </row>
    <row r="20" spans="1:13">
      <c r="C20" s="78"/>
      <c r="E20" s="61"/>
    </row>
    <row r="21" spans="1:13">
      <c r="C21" s="384" t="s">
        <v>354</v>
      </c>
      <c r="D21" s="384"/>
      <c r="E21" s="116">
        <v>3</v>
      </c>
      <c r="F21" s="383">
        <f>E21*F18</f>
        <v>3118811.8811881188</v>
      </c>
    </row>
    <row r="22" spans="1:13">
      <c r="D22" s="78"/>
      <c r="E22" s="385" t="s">
        <v>355</v>
      </c>
      <c r="F22" s="386">
        <f>3000000</f>
        <v>3000000</v>
      </c>
    </row>
    <row r="23" spans="1:13">
      <c r="C23" s="78"/>
      <c r="E23" s="61"/>
    </row>
    <row r="24" spans="1:13" s="76" customFormat="1" ht="15" customHeight="1">
      <c r="B24" s="61"/>
      <c r="C24" s="61"/>
      <c r="D24" s="61"/>
      <c r="K24" s="61"/>
      <c r="L24" s="61"/>
      <c r="M24" s="61"/>
    </row>
    <row r="31" spans="1:13" s="76" customFormat="1" ht="28.5" customHeight="1">
      <c r="B31" s="61"/>
      <c r="C31" s="61"/>
      <c r="D31" s="61"/>
      <c r="E31" s="78"/>
      <c r="F31" s="61"/>
      <c r="G31" s="61"/>
      <c r="H31" s="61"/>
      <c r="I31" s="61"/>
      <c r="J31" s="61"/>
      <c r="K31" s="61"/>
      <c r="L31" s="61"/>
      <c r="M31" s="61"/>
    </row>
    <row r="34" spans="2:13" s="76" customFormat="1" ht="15" customHeight="1">
      <c r="B34" s="61"/>
      <c r="C34" s="61"/>
      <c r="D34" s="61"/>
      <c r="E34" s="78"/>
      <c r="F34" s="61"/>
      <c r="G34" s="61"/>
      <c r="H34" s="61"/>
      <c r="I34" s="61"/>
      <c r="J34" s="61"/>
      <c r="K34" s="61"/>
      <c r="L34" s="61"/>
      <c r="M34" s="61"/>
    </row>
    <row r="36" spans="2:13" s="76" customFormat="1" ht="15" customHeight="1">
      <c r="B36" s="61"/>
      <c r="C36" s="61"/>
      <c r="D36" s="61"/>
      <c r="E36" s="78"/>
      <c r="F36" s="61"/>
      <c r="G36" s="61"/>
      <c r="H36" s="61"/>
      <c r="I36" s="61"/>
      <c r="J36" s="61"/>
      <c r="K36" s="61"/>
      <c r="L36" s="61"/>
      <c r="M36" s="61"/>
    </row>
    <row r="45" spans="2:13" s="76" customFormat="1" ht="15" customHeight="1">
      <c r="B45" s="61"/>
      <c r="C45" s="61"/>
      <c r="D45" s="61"/>
      <c r="E45" s="78"/>
      <c r="F45" s="61"/>
      <c r="G45" s="61"/>
      <c r="H45" s="61"/>
      <c r="I45" s="61"/>
      <c r="J45" s="61"/>
      <c r="K45" s="61"/>
      <c r="L45" s="61"/>
      <c r="M45" s="61"/>
    </row>
    <row r="55" spans="1:6">
      <c r="A55" s="61"/>
    </row>
    <row r="56" spans="1:6">
      <c r="A56" s="61"/>
      <c r="E56" s="61"/>
    </row>
    <row r="57" spans="1:6">
      <c r="E57" s="86"/>
      <c r="F57" s="85"/>
    </row>
  </sheetData>
  <mergeCells count="2">
    <mergeCell ref="A1:I1"/>
    <mergeCell ref="A6:I6"/>
  </mergeCells>
  <pageMargins left="0.7" right="0.7" top="0.75" bottom="0.75" header="0.3" footer="0.3"/>
  <pageSetup scale="59" orientation="portrait" r:id="rId1"/>
  <drawing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96FEA-E474-4A57-806C-1876991ED684}">
  <sheetPr>
    <tabColor theme="9"/>
    <pageSetUpPr fitToPage="1"/>
  </sheetPr>
  <dimension ref="A1:I65"/>
  <sheetViews>
    <sheetView showGridLines="0" view="pageBreakPreview" zoomScale="85" zoomScaleNormal="85" zoomScaleSheetLayoutView="85" workbookViewId="0">
      <selection activeCell="A6" sqref="A6:I11"/>
    </sheetView>
  </sheetViews>
  <sheetFormatPr defaultColWidth="9.140625" defaultRowHeight="12.75"/>
  <cols>
    <col min="1" max="1" width="12.85546875" style="272" bestFit="1" customWidth="1"/>
    <col min="2" max="2" width="30.5703125" style="67" bestFit="1" customWidth="1"/>
    <col min="3" max="3" width="19.42578125" style="67" customWidth="1"/>
    <col min="4" max="4" width="22.42578125" style="67" bestFit="1" customWidth="1"/>
    <col min="5" max="5" width="20.7109375" style="290" bestFit="1" customWidth="1"/>
    <col min="6" max="6" width="19.140625" style="67" bestFit="1" customWidth="1"/>
    <col min="7" max="7" width="38.5703125" style="67" hidden="1" customWidth="1"/>
    <col min="8" max="8" width="15.7109375" style="67" hidden="1" customWidth="1"/>
    <col min="9" max="9" width="13.7109375" style="67" customWidth="1"/>
    <col min="10" max="10" width="1.7109375" style="67" customWidth="1"/>
    <col min="11" max="16384" width="9.140625" style="67"/>
  </cols>
  <sheetData>
    <row r="1" spans="1:9" ht="15" customHeight="1">
      <c r="A1" s="472" t="s">
        <v>356</v>
      </c>
      <c r="B1" s="473"/>
      <c r="C1" s="473"/>
      <c r="D1" s="473"/>
      <c r="E1" s="473"/>
      <c r="F1" s="473"/>
      <c r="G1" s="473"/>
      <c r="H1" s="473"/>
      <c r="I1" s="473"/>
    </row>
    <row r="2" spans="1:9" ht="15" customHeight="1">
      <c r="A2" s="62" t="s">
        <v>1</v>
      </c>
      <c r="B2" s="63" t="str">
        <f>Project_Name</f>
        <v>Right-Sizing Route 37: Improving Community Connectivity</v>
      </c>
    </row>
    <row r="3" spans="1:9" ht="15" customHeight="1">
      <c r="A3" s="140" t="s">
        <v>3</v>
      </c>
      <c r="B3" s="72">
        <f>Date</f>
        <v>44985</v>
      </c>
    </row>
    <row r="4" spans="1:9" ht="15" customHeight="1">
      <c r="B4" s="65"/>
    </row>
    <row r="5" spans="1:9" ht="13.5" thickBot="1"/>
    <row r="6" spans="1:9" ht="240" customHeight="1" thickBot="1">
      <c r="A6" s="405" t="s">
        <v>660</v>
      </c>
      <c r="B6" s="406"/>
      <c r="C6" s="406"/>
      <c r="D6" s="406"/>
      <c r="E6" s="406"/>
      <c r="F6" s="406"/>
      <c r="G6" s="406"/>
      <c r="H6" s="406"/>
      <c r="I6" s="407"/>
    </row>
    <row r="7" spans="1:9">
      <c r="A7" s="128"/>
      <c r="B7" s="81"/>
      <c r="C7" s="81"/>
      <c r="D7" s="81"/>
      <c r="E7" s="80"/>
      <c r="F7" s="81"/>
      <c r="G7" s="81"/>
      <c r="H7" s="81"/>
      <c r="I7" s="81"/>
    </row>
    <row r="8" spans="1:9">
      <c r="A8" s="128"/>
      <c r="B8" s="71" t="s">
        <v>357</v>
      </c>
      <c r="C8" s="81"/>
      <c r="D8" s="81"/>
      <c r="E8" s="67"/>
      <c r="F8" s="80"/>
      <c r="G8" s="81"/>
      <c r="H8" s="81"/>
    </row>
    <row r="9" spans="1:9">
      <c r="A9" s="128"/>
      <c r="B9" s="81"/>
      <c r="C9" s="81"/>
      <c r="D9" s="81"/>
      <c r="E9" s="67"/>
      <c r="F9" s="80"/>
      <c r="G9" s="81"/>
      <c r="H9" s="81"/>
    </row>
    <row r="10" spans="1:9" ht="25.5">
      <c r="A10" s="128"/>
      <c r="B10" s="123" t="s">
        <v>358</v>
      </c>
      <c r="C10" s="123" t="s">
        <v>359</v>
      </c>
      <c r="D10" s="287" t="s">
        <v>328</v>
      </c>
      <c r="E10" s="287" t="s">
        <v>101</v>
      </c>
      <c r="F10" s="123" t="s">
        <v>329</v>
      </c>
      <c r="G10" s="81"/>
      <c r="H10" s="81"/>
    </row>
    <row r="11" spans="1:9">
      <c r="A11" s="128"/>
      <c r="B11" s="81" t="s">
        <v>360</v>
      </c>
      <c r="C11" s="288">
        <f>Table65[[#Totals],['# Daily Users]]</f>
        <v>73000</v>
      </c>
      <c r="D11" s="127">
        <f>Table65[[#Totals],[Benefit per Mile Walked per Day]]</f>
        <v>8030</v>
      </c>
      <c r="E11" s="127">
        <f>Table4.1_ForegoneSummary6365[[#This Row],[Annual Benefit]]*30</f>
        <v>240900</v>
      </c>
      <c r="G11" s="81"/>
      <c r="H11" s="81"/>
      <c r="I11" s="81"/>
    </row>
    <row r="12" spans="1:9" ht="25.5">
      <c r="A12" s="128"/>
      <c r="B12" s="81" t="s">
        <v>361</v>
      </c>
      <c r="C12" s="288">
        <f>Table66[[#Totals],['# Existing Daily Users]]</f>
        <v>73000</v>
      </c>
      <c r="D12" s="127">
        <f>Table66[[#Totals],[Benefit per Signalized Pedestrian Crossing Use per Day]]</f>
        <v>35040</v>
      </c>
      <c r="E12" s="127">
        <f>Table4.1_ForegoneSummary6365[[#This Row],[Annual Benefit]]*30</f>
        <v>1051200</v>
      </c>
      <c r="G12" s="81"/>
      <c r="H12" s="81"/>
      <c r="I12" s="81"/>
    </row>
    <row r="13" spans="1:9" ht="25.5">
      <c r="A13" s="128"/>
      <c r="B13" s="81" t="s">
        <v>362</v>
      </c>
      <c r="C13" s="288">
        <f>Table67[[#Totals],['# Additional  Daily Users]]</f>
        <v>0</v>
      </c>
      <c r="D13" s="127">
        <f>Table67[[#Totals],[Benefit per Signalized Pedestrian Crossing Use per Day]]</f>
        <v>0</v>
      </c>
      <c r="E13" s="127">
        <f>Table4.1_ForegoneSummary6365[[#This Row],[Annual Benefit]]*30</f>
        <v>0</v>
      </c>
      <c r="G13" s="81"/>
      <c r="H13" s="81"/>
      <c r="I13" s="81"/>
    </row>
    <row r="14" spans="1:9">
      <c r="A14" s="128"/>
      <c r="B14" s="81" t="s">
        <v>26</v>
      </c>
      <c r="C14" s="355">
        <f>SUBTOTAL(109,Table4.1_ForegoneSummary6365[Annual Users Affected])</f>
        <v>146000</v>
      </c>
      <c r="D14" s="127">
        <f>SUBTOTAL(109,Table4.1_ForegoneSummary6365[Annual Benefit])</f>
        <v>43070</v>
      </c>
      <c r="E14" s="127">
        <f>SUBTOTAL(109,Table4.1_ForegoneSummary6365[30-Year Total])</f>
        <v>1292100</v>
      </c>
      <c r="F14" s="169"/>
      <c r="G14" s="81"/>
      <c r="H14" s="81"/>
    </row>
    <row r="15" spans="1:9">
      <c r="A15" s="128"/>
      <c r="B15" s="81"/>
      <c r="C15" s="81"/>
      <c r="D15" s="80"/>
      <c r="E15" s="81"/>
      <c r="F15" s="81"/>
      <c r="G15" s="81"/>
      <c r="H15" s="81"/>
    </row>
    <row r="16" spans="1:9">
      <c r="A16" s="128"/>
      <c r="B16" s="81"/>
      <c r="C16" s="81"/>
      <c r="D16" s="80"/>
      <c r="E16" s="81"/>
      <c r="F16" s="81"/>
      <c r="G16" s="81"/>
      <c r="H16" s="81"/>
    </row>
    <row r="17" spans="1:9">
      <c r="A17" s="128"/>
      <c r="B17" s="81"/>
      <c r="C17" s="81"/>
      <c r="D17" s="81"/>
      <c r="E17" s="80"/>
      <c r="F17" s="81"/>
      <c r="G17" s="81"/>
      <c r="H17" s="81"/>
      <c r="I17" s="81"/>
    </row>
    <row r="18" spans="1:9">
      <c r="A18" s="128"/>
      <c r="B18" s="81"/>
      <c r="C18" s="81"/>
      <c r="D18" s="81"/>
      <c r="E18" s="80"/>
      <c r="F18" s="81"/>
      <c r="G18" s="81"/>
      <c r="H18" s="81"/>
      <c r="I18" s="81"/>
    </row>
    <row r="19" spans="1:9">
      <c r="A19" s="128"/>
      <c r="B19" s="81"/>
      <c r="C19" s="81"/>
      <c r="D19" s="81"/>
      <c r="E19" s="80"/>
      <c r="F19" s="81"/>
      <c r="G19" s="81"/>
      <c r="H19" s="81"/>
      <c r="I19" s="81"/>
    </row>
    <row r="20" spans="1:9">
      <c r="A20" s="128"/>
      <c r="B20" s="81"/>
      <c r="C20" s="81"/>
      <c r="D20" s="81"/>
      <c r="E20" s="80"/>
      <c r="F20" s="81"/>
      <c r="G20" s="81"/>
      <c r="H20" s="81"/>
      <c r="I20" s="81"/>
    </row>
    <row r="21" spans="1:9">
      <c r="A21" s="128"/>
      <c r="B21" s="81"/>
      <c r="C21" s="81"/>
      <c r="D21" s="81"/>
      <c r="E21" s="80"/>
      <c r="F21" s="81"/>
      <c r="G21" s="81"/>
      <c r="H21" s="81"/>
      <c r="I21" s="81"/>
    </row>
    <row r="22" spans="1:9">
      <c r="A22" s="128"/>
      <c r="B22" s="81"/>
      <c r="C22" s="81"/>
      <c r="D22" s="81"/>
      <c r="E22" s="80"/>
      <c r="F22" s="81"/>
      <c r="G22" s="81"/>
      <c r="H22" s="81"/>
      <c r="I22" s="81"/>
    </row>
    <row r="23" spans="1:9">
      <c r="A23" s="128"/>
      <c r="B23" s="81"/>
      <c r="C23" s="81"/>
      <c r="D23" s="81"/>
      <c r="E23" s="80"/>
      <c r="F23" s="81"/>
      <c r="G23" s="81"/>
      <c r="H23" s="81"/>
      <c r="I23" s="81"/>
    </row>
    <row r="24" spans="1:9">
      <c r="A24" s="128"/>
      <c r="B24" s="81"/>
      <c r="C24" s="81"/>
      <c r="D24" s="81"/>
      <c r="E24" s="80"/>
      <c r="F24" s="81"/>
      <c r="G24" s="81"/>
      <c r="H24" s="81"/>
      <c r="I24" s="81"/>
    </row>
    <row r="25" spans="1:9" s="81" customFormat="1"/>
    <row r="26" spans="1:9">
      <c r="C26" s="81"/>
      <c r="G26" s="81"/>
    </row>
    <row r="33" spans="2:7" s="272" customFormat="1" ht="15" customHeight="1">
      <c r="B33" s="67"/>
      <c r="C33" s="67"/>
      <c r="D33" s="67"/>
      <c r="E33" s="290"/>
      <c r="F33" s="67"/>
      <c r="G33" s="67"/>
    </row>
    <row r="34" spans="2:7">
      <c r="F34" s="272"/>
      <c r="G34" s="272"/>
    </row>
    <row r="40" spans="2:7" s="272" customFormat="1" ht="28.5" customHeight="1">
      <c r="B40" s="67"/>
      <c r="C40" s="67"/>
      <c r="D40" s="67"/>
      <c r="E40" s="290"/>
      <c r="F40" s="67"/>
      <c r="G40" s="67"/>
    </row>
    <row r="41" spans="2:7">
      <c r="F41" s="272"/>
      <c r="G41" s="272"/>
    </row>
    <row r="43" spans="2:7" s="272" customFormat="1" ht="15" customHeight="1">
      <c r="B43" s="67"/>
      <c r="C43" s="67"/>
      <c r="D43" s="67"/>
      <c r="E43" s="290"/>
      <c r="F43" s="67"/>
      <c r="G43" s="67"/>
    </row>
    <row r="44" spans="2:7">
      <c r="F44" s="272"/>
      <c r="G44" s="272"/>
    </row>
    <row r="45" spans="2:7" s="272" customFormat="1" ht="15" customHeight="1">
      <c r="B45" s="67"/>
      <c r="C45" s="67"/>
      <c r="D45" s="67"/>
      <c r="E45" s="290"/>
      <c r="F45" s="67"/>
      <c r="G45" s="67"/>
    </row>
    <row r="46" spans="2:7">
      <c r="F46" s="272"/>
      <c r="G46" s="272"/>
    </row>
    <row r="54" spans="1:5" ht="15" customHeight="1"/>
    <row r="64" spans="1:5">
      <c r="A64" s="67"/>
      <c r="E64" s="67"/>
    </row>
    <row r="65" spans="1:6">
      <c r="A65" s="67"/>
      <c r="E65" s="291"/>
      <c r="F65" s="141"/>
    </row>
  </sheetData>
  <mergeCells count="2">
    <mergeCell ref="A6:I6"/>
    <mergeCell ref="A1:I1"/>
  </mergeCells>
  <pageMargins left="0.7" right="0.7" top="0.75" bottom="0.75" header="0.3" footer="0.3"/>
  <pageSetup scale="65" orientation="portrait"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5C655-03A2-4CA1-94A7-0B6FF2EC07A5}">
  <sheetPr>
    <tabColor theme="2" tint="-9.9978637043366805E-2"/>
  </sheetPr>
  <dimension ref="A1:X98"/>
  <sheetViews>
    <sheetView showGridLines="0" view="pageBreakPreview" zoomScale="85" zoomScaleNormal="70" zoomScaleSheetLayoutView="85" workbookViewId="0">
      <selection activeCell="A3" sqref="A3:XFD3"/>
    </sheetView>
  </sheetViews>
  <sheetFormatPr defaultColWidth="9.140625" defaultRowHeight="12.75"/>
  <cols>
    <col min="1" max="1" width="17" style="82" customWidth="1"/>
    <col min="2" max="2" width="18.85546875" style="82" customWidth="1"/>
    <col min="3" max="3" width="18.5703125" style="82" bestFit="1" customWidth="1"/>
    <col min="4" max="4" width="17.85546875" style="82" bestFit="1" customWidth="1"/>
    <col min="5" max="5" width="19.28515625" style="82" bestFit="1" customWidth="1"/>
    <col min="6" max="6" width="19.7109375" style="82" bestFit="1" customWidth="1"/>
    <col min="7" max="7" width="20.140625" style="82" bestFit="1" customWidth="1"/>
    <col min="8" max="8" width="18.85546875" style="82" bestFit="1" customWidth="1"/>
    <col min="9" max="9" width="18.5703125" style="82" bestFit="1" customWidth="1"/>
    <col min="10" max="10" width="17.140625" style="82" bestFit="1" customWidth="1"/>
    <col min="11" max="11" width="17.42578125" style="82" bestFit="1" customWidth="1"/>
    <col min="12" max="14" width="20.28515625" style="82" customWidth="1"/>
    <col min="15" max="16" width="20.140625" style="82" bestFit="1" customWidth="1"/>
    <col min="17" max="17" width="14" style="82" bestFit="1" customWidth="1"/>
    <col min="18" max="18" width="18.28515625" style="82" customWidth="1"/>
    <col min="19" max="21" width="16.28515625" style="82" customWidth="1"/>
    <col min="22" max="23" width="19" style="82" customWidth="1"/>
    <col min="24" max="24" width="9.140625" style="82"/>
    <col min="25" max="25" width="27" style="82" customWidth="1"/>
    <col min="26" max="16384" width="9.140625" style="82"/>
  </cols>
  <sheetData>
    <row r="1" spans="1:24" ht="15" customHeight="1">
      <c r="A1" s="404" t="s">
        <v>0</v>
      </c>
      <c r="B1" s="404"/>
      <c r="C1" s="404"/>
      <c r="D1" s="404"/>
      <c r="E1" s="404"/>
      <c r="F1" s="404"/>
      <c r="G1" s="404"/>
      <c r="H1" s="404"/>
      <c r="I1" s="404"/>
      <c r="J1" s="404"/>
      <c r="K1" s="404"/>
      <c r="L1" s="404"/>
      <c r="M1" s="404"/>
      <c r="N1" s="404"/>
      <c r="O1" s="404"/>
    </row>
    <row r="2" spans="1:24" ht="15" customHeight="1">
      <c r="A2" s="62" t="s">
        <v>1</v>
      </c>
      <c r="B2" s="63" t="str">
        <f>Project_Name</f>
        <v>Right-Sizing Route 37: Improving Community Connectivity</v>
      </c>
      <c r="C2" s="61"/>
      <c r="D2" s="61"/>
      <c r="E2" s="61"/>
      <c r="F2" s="61"/>
      <c r="G2" s="61"/>
      <c r="H2" s="61"/>
      <c r="I2" s="61"/>
      <c r="J2" s="61"/>
    </row>
    <row r="3" spans="1:24" ht="15" hidden="1" customHeight="1">
      <c r="A3" s="62" t="s">
        <v>2</v>
      </c>
      <c r="B3" s="63"/>
      <c r="C3" s="61"/>
      <c r="D3" s="61"/>
      <c r="E3" s="61"/>
      <c r="F3" s="61"/>
      <c r="G3" s="61"/>
      <c r="H3" s="61"/>
      <c r="I3" s="61"/>
      <c r="J3" s="61"/>
    </row>
    <row r="4" spans="1:24" ht="15" customHeight="1">
      <c r="A4" s="62" t="s">
        <v>3</v>
      </c>
      <c r="B4" s="64">
        <f>Date</f>
        <v>44985</v>
      </c>
      <c r="C4" s="61"/>
      <c r="D4" s="61"/>
      <c r="E4" s="61"/>
      <c r="F4" s="61"/>
      <c r="G4" s="61"/>
      <c r="H4" s="61"/>
      <c r="I4" s="61"/>
      <c r="J4" s="61"/>
    </row>
    <row r="5" spans="1:24" ht="30" customHeight="1">
      <c r="A5" s="62"/>
      <c r="B5" s="65"/>
      <c r="C5" s="61"/>
      <c r="D5" s="61"/>
      <c r="E5" s="61"/>
      <c r="F5" s="61"/>
      <c r="G5" s="61"/>
      <c r="H5" s="61"/>
      <c r="I5" s="61"/>
      <c r="J5" s="61"/>
    </row>
    <row r="6" spans="1:24" ht="30" customHeight="1" thickBot="1">
      <c r="A6" s="62"/>
      <c r="B6" s="65"/>
      <c r="C6" s="61"/>
      <c r="D6" s="61"/>
      <c r="E6" s="61"/>
      <c r="F6" s="61"/>
      <c r="G6" s="61"/>
      <c r="H6" s="61"/>
      <c r="I6" s="61"/>
      <c r="J6" s="61"/>
    </row>
    <row r="7" spans="1:24" ht="136.5" customHeight="1" thickBot="1">
      <c r="A7" s="405" t="s">
        <v>27</v>
      </c>
      <c r="B7" s="406"/>
      <c r="C7" s="406"/>
      <c r="D7" s="406"/>
      <c r="E7" s="406"/>
      <c r="F7" s="406"/>
      <c r="G7" s="406"/>
      <c r="H7" s="406"/>
      <c r="I7" s="406"/>
      <c r="J7" s="406"/>
      <c r="K7" s="406"/>
      <c r="L7" s="406"/>
      <c r="M7" s="406"/>
      <c r="N7" s="406"/>
      <c r="O7" s="407"/>
    </row>
    <row r="9" spans="1:24">
      <c r="A9" s="71" t="s">
        <v>28</v>
      </c>
      <c r="B9" s="71"/>
      <c r="C9" s="71"/>
      <c r="D9" s="71"/>
      <c r="E9" s="71"/>
      <c r="F9" s="71"/>
      <c r="G9" s="71"/>
      <c r="H9" s="71"/>
      <c r="I9" s="71"/>
      <c r="J9" s="71"/>
      <c r="K9" s="71"/>
      <c r="L9" s="71"/>
      <c r="M9" s="71"/>
      <c r="N9" s="71"/>
      <c r="O9" s="71"/>
      <c r="P9" s="71"/>
      <c r="Q9" s="71"/>
      <c r="R9" s="71"/>
      <c r="S9" s="71"/>
      <c r="T9" s="71"/>
      <c r="U9" s="71"/>
      <c r="V9" s="71"/>
      <c r="W9" s="71"/>
    </row>
    <row r="10" spans="1:24">
      <c r="A10" s="329"/>
      <c r="B10" s="329"/>
      <c r="C10" s="329"/>
      <c r="D10" s="329"/>
      <c r="E10" s="329"/>
      <c r="F10" s="329"/>
      <c r="G10" s="329"/>
      <c r="H10" s="329"/>
      <c r="I10" s="329"/>
      <c r="J10" s="329"/>
      <c r="K10" s="329"/>
      <c r="L10" s="329"/>
      <c r="M10" s="329"/>
      <c r="N10" s="329"/>
      <c r="O10" s="329"/>
      <c r="P10" s="71"/>
      <c r="Q10" s="71"/>
      <c r="R10" s="71"/>
      <c r="S10" s="71"/>
      <c r="T10" s="71"/>
      <c r="U10" s="71"/>
      <c r="V10" s="71"/>
      <c r="W10" s="71"/>
      <c r="X10" s="71"/>
    </row>
    <row r="11" spans="1:24" s="89" customFormat="1" ht="52.5">
      <c r="A11" s="256" t="s">
        <v>29</v>
      </c>
      <c r="B11" s="256" t="s">
        <v>19</v>
      </c>
      <c r="C11" s="312" t="s">
        <v>30</v>
      </c>
      <c r="D11" s="256" t="s">
        <v>31</v>
      </c>
      <c r="E11" s="256" t="s">
        <v>32</v>
      </c>
      <c r="F11" s="256" t="s">
        <v>33</v>
      </c>
      <c r="G11" s="256" t="s">
        <v>34</v>
      </c>
      <c r="H11" s="313" t="s">
        <v>35</v>
      </c>
      <c r="I11" s="256" t="s">
        <v>36</v>
      </c>
      <c r="J11" s="256" t="s">
        <v>37</v>
      </c>
      <c r="K11" s="256" t="s">
        <v>38</v>
      </c>
      <c r="L11" s="256" t="s">
        <v>39</v>
      </c>
      <c r="M11" s="314" t="s">
        <v>40</v>
      </c>
      <c r="N11" s="315" t="s">
        <v>41</v>
      </c>
      <c r="O11" s="316" t="s">
        <v>42</v>
      </c>
    </row>
    <row r="12" spans="1:24">
      <c r="A12" s="112">
        <v>1</v>
      </c>
      <c r="B12" s="112">
        <f>First_Year</f>
        <v>2023</v>
      </c>
      <c r="C12" s="181"/>
      <c r="D12" s="182"/>
      <c r="E12" s="182"/>
      <c r="F12" s="182"/>
      <c r="G12" s="182"/>
      <c r="H12" s="183"/>
      <c r="I12" s="182"/>
      <c r="J12" s="182"/>
      <c r="K12" s="182"/>
      <c r="L12" s="182"/>
      <c r="M12" s="184">
        <f t="shared" ref="M12:M51" si="0">SUM(C12:L12)</f>
        <v>0</v>
      </c>
      <c r="N12" s="185">
        <f>(($M12-$E12)/((1+'ES-1. Executive Summary'!$F$12)^$A12))+($E12/(1+'ES-1. Executive Summary'!$F$13)^$A12)</f>
        <v>0</v>
      </c>
      <c r="O12" s="186">
        <f>$M12/((1+'ES-1. Executive Summary'!$F$13)^$A12)</f>
        <v>0</v>
      </c>
    </row>
    <row r="13" spans="1:24">
      <c r="A13" s="112">
        <f>A12+1</f>
        <v>2</v>
      </c>
      <c r="B13" s="112">
        <f t="shared" ref="B13:B51" si="1">IFERROR(IF(B12+1&lt;Last_Year+1,B12+1,""),"")</f>
        <v>2024</v>
      </c>
      <c r="C13" s="181"/>
      <c r="D13" s="182"/>
      <c r="E13" s="182"/>
      <c r="F13" s="182"/>
      <c r="G13" s="182"/>
      <c r="H13" s="183"/>
      <c r="I13" s="182"/>
      <c r="J13" s="182"/>
      <c r="K13" s="182"/>
      <c r="L13" s="182"/>
      <c r="M13" s="184">
        <f t="shared" si="0"/>
        <v>0</v>
      </c>
      <c r="N13" s="185">
        <f>(($M13-$E13)/((1+'ES-1. Executive Summary'!$F$12)^$A13))+($E13/(1+'ES-1. Executive Summary'!$F$13)^$A13)</f>
        <v>0</v>
      </c>
      <c r="O13" s="186">
        <f>$M13/((1+'ES-1. Executive Summary'!$F$13)^$A13)</f>
        <v>0</v>
      </c>
    </row>
    <row r="14" spans="1:24">
      <c r="A14" s="112">
        <f t="shared" ref="A14:A51" si="2">A13+1</f>
        <v>3</v>
      </c>
      <c r="B14" s="112">
        <f t="shared" si="1"/>
        <v>2025</v>
      </c>
      <c r="C14" s="181"/>
      <c r="D14" s="182"/>
      <c r="E14" s="182"/>
      <c r="F14" s="182"/>
      <c r="G14" s="182">
        <f>'4. Foregone Cost Savings'!E24</f>
        <v>25927991</v>
      </c>
      <c r="H14" s="183"/>
      <c r="I14" s="182"/>
      <c r="J14" s="182"/>
      <c r="K14" s="182"/>
      <c r="L14" s="182"/>
      <c r="M14" s="184">
        <f t="shared" si="0"/>
        <v>25927991</v>
      </c>
      <c r="N14" s="185">
        <f>(($M14-$E14)/((1+'ES-1. Executive Summary'!$F$12)^$A14))+($E14/(1+'ES-1. Executive Summary'!$F$13)^$A14)</f>
        <v>21164964.005345117</v>
      </c>
      <c r="O14" s="186">
        <f>$M14/((1+'ES-1. Executive Summary'!$F$13)^$A14)</f>
        <v>23727784.707433786</v>
      </c>
    </row>
    <row r="15" spans="1:24">
      <c r="A15" s="112">
        <f t="shared" si="2"/>
        <v>4</v>
      </c>
      <c r="B15" s="112">
        <f t="shared" si="1"/>
        <v>2026</v>
      </c>
      <c r="C15" s="181"/>
      <c r="D15" s="182"/>
      <c r="E15" s="182"/>
      <c r="F15" s="182"/>
      <c r="G15" s="182"/>
      <c r="H15" s="183"/>
      <c r="I15" s="182"/>
      <c r="J15" s="182"/>
      <c r="K15" s="182"/>
      <c r="L15" s="182"/>
      <c r="M15" s="184">
        <f t="shared" si="0"/>
        <v>0</v>
      </c>
      <c r="N15" s="185">
        <f>(($M15-$E15)/((1+'ES-1. Executive Summary'!$F$12)^$A15))+($E15/(1+'ES-1. Executive Summary'!$F$13)^$A15)</f>
        <v>0</v>
      </c>
      <c r="O15" s="186">
        <f>$M15/((1+'ES-1. Executive Summary'!$F$13)^$A15)</f>
        <v>0</v>
      </c>
    </row>
    <row r="16" spans="1:24">
      <c r="A16" s="113">
        <f t="shared" si="2"/>
        <v>5</v>
      </c>
      <c r="B16" s="113">
        <f t="shared" si="1"/>
        <v>2027</v>
      </c>
      <c r="C16" s="189"/>
      <c r="D16" s="190"/>
      <c r="E16" s="190"/>
      <c r="F16" s="190"/>
      <c r="G16" s="190"/>
      <c r="H16" s="191"/>
      <c r="I16" s="190"/>
      <c r="J16" s="190"/>
      <c r="K16" s="190"/>
      <c r="L16" s="190"/>
      <c r="M16" s="192">
        <f t="shared" si="0"/>
        <v>0</v>
      </c>
      <c r="N16" s="193">
        <f>(($M16-$E16)/((1+'ES-1. Executive Summary'!$F$12)^$A16))+($E16/(1+'ES-1. Executive Summary'!$F$13)^$A16)</f>
        <v>0</v>
      </c>
      <c r="O16" s="194">
        <f>$M16/((1+'ES-1. Executive Summary'!$F$13)^$A16)</f>
        <v>0</v>
      </c>
    </row>
    <row r="17" spans="1:24">
      <c r="A17" s="113">
        <f t="shared" si="2"/>
        <v>6</v>
      </c>
      <c r="B17" s="113">
        <f t="shared" si="1"/>
        <v>2028</v>
      </c>
      <c r="C17" s="189">
        <f>'1B. Safety Backup'!G21</f>
        <v>0</v>
      </c>
      <c r="D17" s="190">
        <f>SUM('2B. Emissions Backup'!C187:E187)</f>
        <v>0</v>
      </c>
      <c r="E17" s="190">
        <f>'2B. Emissions Backup'!F187</f>
        <v>0</v>
      </c>
      <c r="F17" s="190">
        <f>'3D. TTS Backup All Years'!G97</f>
        <v>0</v>
      </c>
      <c r="G17" s="190">
        <f>'4. Foregone Cost Savings'!E23</f>
        <v>16542651</v>
      </c>
      <c r="H17" s="191"/>
      <c r="I17" s="190">
        <v>0</v>
      </c>
      <c r="J17" s="190">
        <v>0</v>
      </c>
      <c r="K17" s="190">
        <v>0</v>
      </c>
      <c r="L17" s="190">
        <v>0</v>
      </c>
      <c r="M17" s="192">
        <f t="shared" si="0"/>
        <v>16542651</v>
      </c>
      <c r="N17" s="193">
        <f>(($M17-$E17)/((1+'ES-1. Executive Summary'!$F$12)^$A17))+($E17/(1+'ES-1. Executive Summary'!$F$13)^$A17)</f>
        <v>11023066.855160454</v>
      </c>
      <c r="O17" s="194">
        <f>$M17/((1+'ES-1. Executive Summary'!$F$13)^$A17)</f>
        <v>13854209.776312113</v>
      </c>
      <c r="X17" s="81"/>
    </row>
    <row r="18" spans="1:24">
      <c r="A18" s="112">
        <f t="shared" si="2"/>
        <v>7</v>
      </c>
      <c r="B18" s="112">
        <f t="shared" si="1"/>
        <v>2029</v>
      </c>
      <c r="C18" s="181">
        <f ca="1">'1B. Safety Backup'!G22</f>
        <v>5292586.7099000001</v>
      </c>
      <c r="D18" s="182">
        <f>SUM('2B. Emissions Backup'!C146:E146)</f>
        <v>3713.7499999999636</v>
      </c>
      <c r="E18" s="182">
        <f>'2B. Emissions Backup'!F146</f>
        <v>14448.066666666637</v>
      </c>
      <c r="F18" s="182">
        <f>'3D. TTS Backup All Years'!G98</f>
        <v>-850960.43596114474</v>
      </c>
      <c r="G18" s="182">
        <f>Table4.1_ForegoneSummary[[#Totals],[Annual Average]]</f>
        <v>1248819.1666666665</v>
      </c>
      <c r="H18" s="183">
        <f>'5. Repurposing ROW Benefits'!F22</f>
        <v>3000000</v>
      </c>
      <c r="I18" s="182">
        <f>Table4.1_ForegoneSummary63[[#Totals],[Annual Benefit]]</f>
        <v>0</v>
      </c>
      <c r="J18" s="182">
        <f>Table4.1_ForegoneSummary6365[[#Totals],[Annual Benefit]]</f>
        <v>43070</v>
      </c>
      <c r="K18" s="182">
        <v>0</v>
      </c>
      <c r="L18" s="182">
        <v>0</v>
      </c>
      <c r="M18" s="184">
        <f t="shared" ca="1" si="0"/>
        <v>8751677.2572721876</v>
      </c>
      <c r="N18" s="185">
        <f ca="1">(($M18-$E18)/((1+'ES-1. Executive Summary'!$F$12)^$A18))+($E18/(1+'ES-1. Executive Summary'!$F$13)^$A18)</f>
        <v>5452854.8235980934</v>
      </c>
      <c r="O18" s="186">
        <f ca="1">$M18/((1+'ES-1. Executive Summary'!$F$13)^$A18)</f>
        <v>7115914.4879047005</v>
      </c>
    </row>
    <row r="19" spans="1:24">
      <c r="A19" s="112">
        <f t="shared" si="2"/>
        <v>8</v>
      </c>
      <c r="B19" s="112">
        <f t="shared" si="1"/>
        <v>2030</v>
      </c>
      <c r="C19" s="181">
        <f ca="1">'1B. Safety Backup'!G23</f>
        <v>5292586.7099000001</v>
      </c>
      <c r="D19" s="182">
        <f>SUM('2B. Emissions Backup'!C147:E147)</f>
        <v>4086.7999999999233</v>
      </c>
      <c r="E19" s="182">
        <f>'2B. Emissions Backup'!F147</f>
        <v>15250.199999999939</v>
      </c>
      <c r="F19" s="182">
        <f>'3D. TTS Backup All Years'!G99</f>
        <v>-686661.17344860628</v>
      </c>
      <c r="G19" s="182">
        <f>Table4.1_ForegoneSummary[[#Totals],[Annual Average]]</f>
        <v>1248819.1666666665</v>
      </c>
      <c r="H19" s="183"/>
      <c r="I19" s="182">
        <f>Table4.1_ForegoneSummary63[[#Totals],[Annual Benefit]]</f>
        <v>0</v>
      </c>
      <c r="J19" s="182">
        <f>Table4.1_ForegoneSummary6365[[#Totals],[Annual Benefit]]</f>
        <v>43070</v>
      </c>
      <c r="K19" s="182">
        <f>Table70[[#Totals],[Annual Benefits]]</f>
        <v>0</v>
      </c>
      <c r="L19" s="182">
        <f>Table71[[#Totals],[Annual Benefit]]</f>
        <v>0</v>
      </c>
      <c r="M19" s="184">
        <f t="shared" ca="1" si="0"/>
        <v>5917151.7031180598</v>
      </c>
      <c r="N19" s="185">
        <f ca="1">(($M19-$E19)/((1+'ES-1. Executive Summary'!$F$12)^$A19))+($E19/(1+'ES-1. Executive Summary'!$F$13)^$A19)</f>
        <v>3446999.0577659304</v>
      </c>
      <c r="O19" s="186">
        <f ca="1">$M19/((1+'ES-1. Executive Summary'!$F$13)^$A19)</f>
        <v>4671054.1952778287</v>
      </c>
    </row>
    <row r="20" spans="1:24">
      <c r="A20" s="112">
        <f t="shared" si="2"/>
        <v>9</v>
      </c>
      <c r="B20" s="112">
        <f t="shared" si="1"/>
        <v>2031</v>
      </c>
      <c r="C20" s="181">
        <f ca="1">'1B. Safety Backup'!G24</f>
        <v>5292586.7099000001</v>
      </c>
      <c r="D20" s="182">
        <f>SUM('2B. Emissions Backup'!C148:E148)</f>
        <v>4451.3499999998812</v>
      </c>
      <c r="E20" s="182">
        <f>'2B. Emissions Backup'!F148</f>
        <v>16321.499999999905</v>
      </c>
      <c r="F20" s="182">
        <f>'3D. TTS Backup All Years'!G100</f>
        <v>-522361.91093606857</v>
      </c>
      <c r="G20" s="182">
        <f>Table4.1_ForegoneSummary[[#Totals],[Annual Average]]</f>
        <v>1248819.1666666665</v>
      </c>
      <c r="H20" s="183"/>
      <c r="I20" s="182">
        <f>Table4.1_ForegoneSummary63[[#Totals],[Annual Benefit]]</f>
        <v>0</v>
      </c>
      <c r="J20" s="182">
        <f>Table4.1_ForegoneSummary6365[[#Totals],[Annual Benefit]]</f>
        <v>43070</v>
      </c>
      <c r="K20" s="182">
        <f>Table70[[#Totals],[Annual Benefits]]</f>
        <v>0</v>
      </c>
      <c r="L20" s="182">
        <f>Table71[[#Totals],[Annual Benefit]]</f>
        <v>0</v>
      </c>
      <c r="M20" s="184">
        <f t="shared" ca="1" si="0"/>
        <v>6082886.815630598</v>
      </c>
      <c r="N20" s="185">
        <f ca="1">(($M20-$E20)/((1+'ES-1. Executive Summary'!$F$12)^$A20))+($E20/(1+'ES-1. Executive Summary'!$F$13)^$A20)</f>
        <v>3312318.6474590804</v>
      </c>
      <c r="O20" s="186">
        <f ca="1">$M20/((1+'ES-1. Executive Summary'!$F$13)^$A20)</f>
        <v>4662026.2364517329</v>
      </c>
    </row>
    <row r="21" spans="1:24">
      <c r="A21" s="112">
        <f t="shared" si="2"/>
        <v>10</v>
      </c>
      <c r="B21" s="112">
        <f t="shared" si="1"/>
        <v>2032</v>
      </c>
      <c r="C21" s="181">
        <f ca="1">'1B. Safety Backup'!G25</f>
        <v>5292586.7099000001</v>
      </c>
      <c r="D21" s="182">
        <f>SUM('2B. Emissions Backup'!C149:E149)</f>
        <v>4749.8333333331739</v>
      </c>
      <c r="E21" s="182">
        <f>'2B. Emissions Backup'!F149</f>
        <v>17168.799999999872</v>
      </c>
      <c r="F21" s="182">
        <f>'3D. TTS Backup All Years'!G101</f>
        <v>-358062.64842352987</v>
      </c>
      <c r="G21" s="182">
        <f>Table4.1_ForegoneSummary[[#Totals],[Annual Average]]</f>
        <v>1248819.1666666665</v>
      </c>
      <c r="H21" s="183"/>
      <c r="I21" s="182">
        <f>Table4.1_ForegoneSummary63[[#Totals],[Annual Benefit]]</f>
        <v>0</v>
      </c>
      <c r="J21" s="182">
        <f>Table4.1_ForegoneSummary6365[[#Totals],[Annual Benefit]]</f>
        <v>43070</v>
      </c>
      <c r="K21" s="182">
        <f>Table70[[#Totals],[Annual Benefits]]</f>
        <v>0</v>
      </c>
      <c r="L21" s="182">
        <f>Table71[[#Totals],[Annual Benefit]]</f>
        <v>0</v>
      </c>
      <c r="M21" s="184">
        <f t="shared" ca="1" si="0"/>
        <v>6248331.8614764698</v>
      </c>
      <c r="N21" s="185">
        <f ca="1">(($M21-$E21)/((1+'ES-1. Executive Summary'!$F$12)^$A21))+($E21/(1+'ES-1. Executive Summary'!$F$13)^$A21)</f>
        <v>3180382.5310836434</v>
      </c>
      <c r="O21" s="186">
        <f ca="1">$M21/((1+'ES-1. Executive Summary'!$F$13)^$A21)</f>
        <v>4649345.7163799684</v>
      </c>
    </row>
    <row r="22" spans="1:24">
      <c r="A22" s="112">
        <f t="shared" si="2"/>
        <v>11</v>
      </c>
      <c r="B22" s="112">
        <f t="shared" si="1"/>
        <v>2033</v>
      </c>
      <c r="C22" s="181">
        <f ca="1">'1B. Safety Backup'!G26</f>
        <v>5292586.7099000001</v>
      </c>
      <c r="D22" s="182">
        <f>SUM('2B. Emissions Backup'!C150:E150)</f>
        <v>5048.3166666664674</v>
      </c>
      <c r="E22" s="182">
        <f>'2B. Emissions Backup'!F150</f>
        <v>18034.166666666504</v>
      </c>
      <c r="F22" s="182">
        <f>'3D. TTS Backup All Years'!G102</f>
        <v>-193763.38591099237</v>
      </c>
      <c r="G22" s="182">
        <f>Table4.1_ForegoneSummary[[#Totals],[Annual Average]]</f>
        <v>1248819.1666666665</v>
      </c>
      <c r="H22" s="183"/>
      <c r="I22" s="182">
        <f>Table4.1_ForegoneSummary63[[#Totals],[Annual Benefit]]</f>
        <v>0</v>
      </c>
      <c r="J22" s="182">
        <f>Table4.1_ForegoneSummary6365[[#Totals],[Annual Benefit]]</f>
        <v>43070</v>
      </c>
      <c r="K22" s="182">
        <f>Table70[[#Totals],[Annual Benefits]]</f>
        <v>0</v>
      </c>
      <c r="L22" s="182">
        <f>Table71[[#Totals],[Annual Benefit]]</f>
        <v>0</v>
      </c>
      <c r="M22" s="184">
        <f t="shared" ca="1" si="0"/>
        <v>6413794.9739890061</v>
      </c>
      <c r="N22" s="185">
        <f ca="1">(($M22-$E22)/((1+'ES-1. Executive Summary'!$F$12)^$A22))+($E22/(1+'ES-1. Executive Summary'!$F$13)^$A22)</f>
        <v>3051608.1526826276</v>
      </c>
      <c r="O22" s="186">
        <f ca="1">$M22/((1+'ES-1. Executive Summary'!$F$13)^$A22)</f>
        <v>4633461.9529518634</v>
      </c>
    </row>
    <row r="23" spans="1:24">
      <c r="A23" s="112">
        <f t="shared" si="2"/>
        <v>12</v>
      </c>
      <c r="B23" s="112">
        <f t="shared" si="1"/>
        <v>2034</v>
      </c>
      <c r="C23" s="181">
        <f ca="1">'1B. Safety Backup'!G27</f>
        <v>5292586.7099000001</v>
      </c>
      <c r="D23" s="182">
        <f>SUM('2B. Emissions Backup'!C151:E151)</f>
        <v>5346.7999999997601</v>
      </c>
      <c r="E23" s="182">
        <f>'2B. Emissions Backup'!F151</f>
        <v>18917.599999999802</v>
      </c>
      <c r="F23" s="182">
        <f>'3D. TTS Backup All Years'!G103</f>
        <v>-29464.123398454718</v>
      </c>
      <c r="G23" s="182">
        <f>Table4.1_ForegoneSummary[[#Totals],[Annual Average]]</f>
        <v>1248819.1666666665</v>
      </c>
      <c r="H23" s="183"/>
      <c r="I23" s="182">
        <f>Table4.1_ForegoneSummary63[[#Totals],[Annual Benefit]]</f>
        <v>0</v>
      </c>
      <c r="J23" s="182">
        <f>Table4.1_ForegoneSummary6365[[#Totals],[Annual Benefit]]</f>
        <v>43070</v>
      </c>
      <c r="K23" s="182">
        <f>Table70[[#Totals],[Annual Benefits]]</f>
        <v>0</v>
      </c>
      <c r="L23" s="182">
        <f>Table71[[#Totals],[Annual Benefit]]</f>
        <v>0</v>
      </c>
      <c r="M23" s="184">
        <f t="shared" ca="1" si="0"/>
        <v>6579276.1531682108</v>
      </c>
      <c r="N23" s="185">
        <f ca="1">(($M23-$E23)/((1+'ES-1. Executive Summary'!$F$12)^$A23))+($E23/(1+'ES-1. Executive Summary'!$F$13)^$A23)</f>
        <v>2926146.0785354711</v>
      </c>
      <c r="O23" s="186">
        <f ca="1">$M23/((1+'ES-1. Executive Summary'!$F$13)^$A23)</f>
        <v>4614571.9200656051</v>
      </c>
    </row>
    <row r="24" spans="1:24">
      <c r="A24" s="112">
        <f t="shared" si="2"/>
        <v>13</v>
      </c>
      <c r="B24" s="112">
        <f t="shared" si="1"/>
        <v>2035</v>
      </c>
      <c r="C24" s="181">
        <f ca="1">'1B. Safety Backup'!G28</f>
        <v>5292586.7099000001</v>
      </c>
      <c r="D24" s="182">
        <f>SUM('2B. Emissions Backup'!C152:E152)</f>
        <v>5645.2833333330527</v>
      </c>
      <c r="E24" s="182">
        <f>'2B. Emissions Backup'!F152</f>
        <v>19819.099999999766</v>
      </c>
      <c r="F24" s="182">
        <f>'3D. TTS Backup All Years'!G104</f>
        <v>134835.13911408387</v>
      </c>
      <c r="G24" s="182">
        <f>Table4.1_ForegoneSummary[[#Totals],[Annual Average]]</f>
        <v>1248819.1666666665</v>
      </c>
      <c r="H24" s="183"/>
      <c r="I24" s="182">
        <f>Table4.1_ForegoneSummary63[[#Totals],[Annual Benefit]]</f>
        <v>0</v>
      </c>
      <c r="J24" s="182">
        <f>Table4.1_ForegoneSummary6365[[#Totals],[Annual Benefit]]</f>
        <v>43070</v>
      </c>
      <c r="K24" s="182">
        <f>Table70[[#Totals],[Annual Benefits]]</f>
        <v>0</v>
      </c>
      <c r="L24" s="182">
        <f>Table71[[#Totals],[Annual Benefit]]</f>
        <v>0</v>
      </c>
      <c r="M24" s="184">
        <f t="shared" ca="1" si="0"/>
        <v>6744775.3990140837</v>
      </c>
      <c r="N24" s="185">
        <f ca="1">(($M24-$E24)/((1+'ES-1. Executive Summary'!$F$12)^$A24))+($E24/(1+'ES-1. Executive Summary'!$F$13)^$A24)</f>
        <v>2804113.6203973815</v>
      </c>
      <c r="O24" s="186">
        <f ca="1">$M24/((1+'ES-1. Executive Summary'!$F$13)^$A24)</f>
        <v>4592863.8459116612</v>
      </c>
    </row>
    <row r="25" spans="1:24">
      <c r="A25" s="112">
        <f t="shared" si="2"/>
        <v>14</v>
      </c>
      <c r="B25" s="112">
        <f t="shared" si="1"/>
        <v>2036</v>
      </c>
      <c r="C25" s="181">
        <f ca="1">'1B. Safety Backup'!G29</f>
        <v>5292586.7099000001</v>
      </c>
      <c r="D25" s="182">
        <f>SUM('2B. Emissions Backup'!C153:E153)</f>
        <v>5943.7666666663454</v>
      </c>
      <c r="E25" s="182">
        <f>'2B. Emissions Backup'!F153</f>
        <v>20738.666666666395</v>
      </c>
      <c r="F25" s="182">
        <f>'3D. TTS Backup All Years'!G105</f>
        <v>299134.40162662149</v>
      </c>
      <c r="G25" s="182">
        <f>Table4.1_ForegoneSummary[[#Totals],[Annual Average]]</f>
        <v>1248819.1666666665</v>
      </c>
      <c r="H25" s="183"/>
      <c r="I25" s="182">
        <f>Table4.1_ForegoneSummary63[[#Totals],[Annual Benefit]]</f>
        <v>0</v>
      </c>
      <c r="J25" s="182">
        <f>Table4.1_ForegoneSummary6365[[#Totals],[Annual Benefit]]</f>
        <v>43070</v>
      </c>
      <c r="K25" s="182">
        <f>Table70[[#Totals],[Annual Benefits]]</f>
        <v>0</v>
      </c>
      <c r="L25" s="182">
        <f>Table71[[#Totals],[Annual Benefit]]</f>
        <v>0</v>
      </c>
      <c r="M25" s="184">
        <f t="shared" ca="1" si="0"/>
        <v>6910292.7115266211</v>
      </c>
      <c r="N25" s="185">
        <f ca="1">(($M25-$E25)/((1+'ES-1. Executive Summary'!$F$12)^$A25))+($E25/(1+'ES-1. Executive Summary'!$F$13)^$A25)</f>
        <v>2685598.543319609</v>
      </c>
      <c r="O25" s="186">
        <f ca="1">$M25/((1+'ES-1. Executive Summary'!$F$13)^$A25)</f>
        <v>4568517.5550088771</v>
      </c>
    </row>
    <row r="26" spans="1:24">
      <c r="A26" s="112">
        <f t="shared" si="2"/>
        <v>15</v>
      </c>
      <c r="B26" s="112">
        <f t="shared" si="1"/>
        <v>2037</v>
      </c>
      <c r="C26" s="181">
        <f ca="1">'1B. Safety Backup'!G30</f>
        <v>5292586.7099000001</v>
      </c>
      <c r="D26" s="182">
        <f>SUM('2B. Emissions Backup'!C154:E154)</f>
        <v>6242.249999999638</v>
      </c>
      <c r="E26" s="182">
        <f>'2B. Emissions Backup'!F154</f>
        <v>21981.599999999686</v>
      </c>
      <c r="F26" s="182">
        <f>'3D. TTS Backup All Years'!G106</f>
        <v>463433.66413916007</v>
      </c>
      <c r="G26" s="182">
        <f>Table4.1_ForegoneSummary[[#Totals],[Annual Average]]</f>
        <v>1248819.1666666665</v>
      </c>
      <c r="H26" s="183"/>
      <c r="I26" s="182">
        <f>Table4.1_ForegoneSummary63[[#Totals],[Annual Benefit]]</f>
        <v>0</v>
      </c>
      <c r="J26" s="182">
        <f>Table4.1_ForegoneSummary6365[[#Totals],[Annual Benefit]]</f>
        <v>43070</v>
      </c>
      <c r="K26" s="182">
        <f>Table70[[#Totals],[Annual Benefits]]</f>
        <v>0</v>
      </c>
      <c r="L26" s="182">
        <f>Table71[[#Totals],[Annual Benefit]]</f>
        <v>0</v>
      </c>
      <c r="M26" s="184">
        <f t="shared" ca="1" si="0"/>
        <v>7076133.3907058258</v>
      </c>
      <c r="N26" s="185">
        <f ca="1">(($M26-$E26)/((1+'ES-1. Executive Summary'!$F$12)^$A26))+($E26/(1+'ES-1. Executive Summary'!$F$13)^$A26)</f>
        <v>2570858.3910772461</v>
      </c>
      <c r="O26" s="186">
        <f ca="1">$M26/((1+'ES-1. Executive Summary'!$F$13)^$A26)</f>
        <v>4541900.7581973802</v>
      </c>
    </row>
    <row r="27" spans="1:24">
      <c r="A27" s="112">
        <f t="shared" si="2"/>
        <v>16</v>
      </c>
      <c r="B27" s="112">
        <f t="shared" si="1"/>
        <v>2038</v>
      </c>
      <c r="C27" s="181">
        <f ca="1">'1B. Safety Backup'!G31</f>
        <v>5292586.7099000001</v>
      </c>
      <c r="D27" s="182">
        <f>SUM('2B. Emissions Backup'!C155:E155)</f>
        <v>6540.7333333329316</v>
      </c>
      <c r="E27" s="182">
        <f>'2B. Emissions Backup'!F155</f>
        <v>22946.333333332979</v>
      </c>
      <c r="F27" s="182">
        <f>'3D. TTS Backup All Years'!G107</f>
        <v>627732.92665169772</v>
      </c>
      <c r="G27" s="182">
        <f>Table4.1_ForegoneSummary[[#Totals],[Annual Average]]</f>
        <v>1248819.1666666665</v>
      </c>
      <c r="H27" s="183"/>
      <c r="I27" s="182">
        <f>Table4.1_ForegoneSummary63[[#Totals],[Annual Benefit]]</f>
        <v>0</v>
      </c>
      <c r="J27" s="182">
        <f>Table4.1_ForegoneSummary6365[[#Totals],[Annual Benefit]]</f>
        <v>43070</v>
      </c>
      <c r="K27" s="182">
        <f>Table70[[#Totals],[Annual Benefits]]</f>
        <v>0</v>
      </c>
      <c r="L27" s="182">
        <f>Table71[[#Totals],[Annual Benefit]]</f>
        <v>0</v>
      </c>
      <c r="M27" s="184">
        <f t="shared" ca="1" si="0"/>
        <v>7241695.8698850311</v>
      </c>
      <c r="N27" s="185">
        <f ca="1">(($M27-$E27)/((1+'ES-1. Executive Summary'!$F$12)^$A27))+($E27/(1+'ES-1. Executive Summary'!$F$13)^$A27)</f>
        <v>2459539.6171678742</v>
      </c>
      <c r="O27" s="186">
        <f ca="1">$M27/((1+'ES-1. Executive Summary'!$F$13)^$A27)</f>
        <v>4512785.4499991983</v>
      </c>
    </row>
    <row r="28" spans="1:24">
      <c r="A28" s="112">
        <f t="shared" si="2"/>
        <v>17</v>
      </c>
      <c r="B28" s="112">
        <f t="shared" si="1"/>
        <v>2039</v>
      </c>
      <c r="C28" s="181">
        <f ca="1">'1B. Safety Backup'!G32</f>
        <v>5292586.7099000001</v>
      </c>
      <c r="D28" s="182">
        <f>SUM('2B. Emissions Backup'!C156:E156)</f>
        <v>6839.2166666662233</v>
      </c>
      <c r="E28" s="182">
        <f>'2B. Emissions Backup'!F156</f>
        <v>23929.133333332938</v>
      </c>
      <c r="F28" s="182">
        <f>'3D. TTS Backup All Years'!G108</f>
        <v>792032.18916423619</v>
      </c>
      <c r="G28" s="182">
        <f>Table4.1_ForegoneSummary[[#Totals],[Annual Average]]</f>
        <v>1248819.1666666665</v>
      </c>
      <c r="H28" s="183"/>
      <c r="I28" s="182">
        <f>Table4.1_ForegoneSummary63[[#Totals],[Annual Benefit]]</f>
        <v>0</v>
      </c>
      <c r="J28" s="182">
        <f>Table4.1_ForegoneSummary6365[[#Totals],[Annual Benefit]]</f>
        <v>43070</v>
      </c>
      <c r="K28" s="182">
        <f>Table70[[#Totals],[Annual Benefits]]</f>
        <v>0</v>
      </c>
      <c r="L28" s="182">
        <f>Table71[[#Totals],[Annual Benefit]]</f>
        <v>0</v>
      </c>
      <c r="M28" s="184">
        <f t="shared" ca="1" si="0"/>
        <v>7407276.4157309011</v>
      </c>
      <c r="N28" s="185">
        <f ca="1">(($M28-$E28)/((1+'ES-1. Executive Summary'!$F$12)^$A28))+($E28/(1+'ES-1. Executive Summary'!$F$13)^$A28)</f>
        <v>2351856.1847113334</v>
      </c>
      <c r="O28" s="186">
        <f ca="1">$M28/((1+'ES-1. Executive Summary'!$F$13)^$A28)</f>
        <v>4481524.0504353056</v>
      </c>
    </row>
    <row r="29" spans="1:24">
      <c r="A29" s="112">
        <f t="shared" si="2"/>
        <v>18</v>
      </c>
      <c r="B29" s="112">
        <f t="shared" si="1"/>
        <v>2040</v>
      </c>
      <c r="C29" s="181">
        <f ca="1">'1B. Safety Backup'!G33</f>
        <v>5292586.7099000001</v>
      </c>
      <c r="D29" s="182">
        <f>SUM('2B. Emissions Backup'!C157:E157)</f>
        <v>7137.6999999995169</v>
      </c>
      <c r="E29" s="182">
        <f>'2B. Emissions Backup'!F157</f>
        <v>24929.999999999563</v>
      </c>
      <c r="F29" s="182">
        <f>'3D. TTS Backup All Years'!G109</f>
        <v>956331.45167677396</v>
      </c>
      <c r="G29" s="182">
        <f>Table4.1_ForegoneSummary[[#Totals],[Annual Average]]</f>
        <v>1248819.1666666665</v>
      </c>
      <c r="H29" s="183"/>
      <c r="I29" s="182">
        <f>Table4.1_ForegoneSummary63[[#Totals],[Annual Benefit]]</f>
        <v>0</v>
      </c>
      <c r="J29" s="182">
        <f>Table4.1_ForegoneSummary6365[[#Totals],[Annual Benefit]]</f>
        <v>43070</v>
      </c>
      <c r="K29" s="182">
        <f>Table70[[#Totals],[Annual Benefits]]</f>
        <v>0</v>
      </c>
      <c r="L29" s="182">
        <f>Table71[[#Totals],[Annual Benefit]]</f>
        <v>0</v>
      </c>
      <c r="M29" s="184">
        <f t="shared" ca="1" si="0"/>
        <v>7572875.0282434393</v>
      </c>
      <c r="N29" s="185">
        <f ca="1">(($M29-$E29)/((1+'ES-1. Executive Summary'!$F$12)^$A29))+($E29/(1+'ES-1. Executive Summary'!$F$13)^$A29)</f>
        <v>2247808.323804114</v>
      </c>
      <c r="O29" s="186">
        <f ca="1">$M29/((1+'ES-1. Executive Summary'!$F$13)^$A29)</f>
        <v>4448265.9557422008</v>
      </c>
    </row>
    <row r="30" spans="1:24">
      <c r="A30" s="112">
        <f t="shared" si="2"/>
        <v>19</v>
      </c>
      <c r="B30" s="112">
        <f t="shared" si="1"/>
        <v>2041</v>
      </c>
      <c r="C30" s="181">
        <f ca="1">'1B. Safety Backup'!G34</f>
        <v>5292586.7099000001</v>
      </c>
      <c r="D30" s="182">
        <f>SUM('2B. Emissions Backup'!C158:E158)</f>
        <v>7436.1833333328086</v>
      </c>
      <c r="E30" s="182">
        <f>'2B. Emissions Backup'!F158</f>
        <v>25948.933333332854</v>
      </c>
      <c r="F30" s="182">
        <f>'3D. TTS Backup All Years'!G110</f>
        <v>1120630.7141893115</v>
      </c>
      <c r="G30" s="182">
        <f>Table4.1_ForegoneSummary[[#Totals],[Annual Average]]</f>
        <v>1248819.1666666665</v>
      </c>
      <c r="H30" s="183"/>
      <c r="I30" s="182">
        <f>Table4.1_ForegoneSummary63[[#Totals],[Annual Benefit]]</f>
        <v>0</v>
      </c>
      <c r="J30" s="182">
        <f>Table4.1_ForegoneSummary6365[[#Totals],[Annual Benefit]]</f>
        <v>43070</v>
      </c>
      <c r="K30" s="182">
        <f>Table70[[#Totals],[Annual Benefits]]</f>
        <v>0</v>
      </c>
      <c r="L30" s="182">
        <f>Table71[[#Totals],[Annual Benefit]]</f>
        <v>0</v>
      </c>
      <c r="M30" s="184">
        <f t="shared" ca="1" si="0"/>
        <v>7738491.7074226439</v>
      </c>
      <c r="N30" s="185">
        <f ca="1">(($M30-$E30)/((1+'ES-1. Executive Summary'!$F$12)^$A30))+($E30/(1+'ES-1. Executive Summary'!$F$13)^$A30)</f>
        <v>2147380.659828905</v>
      </c>
      <c r="O30" s="186">
        <f ca="1">$M30/((1+'ES-1. Executive Summary'!$F$13)^$A30)</f>
        <v>4413153.6893430892</v>
      </c>
    </row>
    <row r="31" spans="1:24">
      <c r="A31" s="112">
        <f t="shared" si="2"/>
        <v>20</v>
      </c>
      <c r="B31" s="112">
        <f t="shared" si="1"/>
        <v>2042</v>
      </c>
      <c r="C31" s="181">
        <f ca="1">'1B. Safety Backup'!G35</f>
        <v>5292586.7099000001</v>
      </c>
      <c r="D31" s="182">
        <f>SUM('2B. Emissions Backup'!C159:E159)</f>
        <v>7734.6666666661022</v>
      </c>
      <c r="E31" s="182">
        <f>'2B. Emissions Backup'!F159</f>
        <v>27336.39999999947</v>
      </c>
      <c r="F31" s="182">
        <f>'3D. TTS Backup All Years'!G111</f>
        <v>1284929.9767018501</v>
      </c>
      <c r="G31" s="182">
        <f>Table4.1_ForegoneSummary[[#Totals],[Annual Average]]</f>
        <v>1248819.1666666665</v>
      </c>
      <c r="H31" s="183"/>
      <c r="I31" s="182">
        <f>Table4.1_ForegoneSummary63[[#Totals],[Annual Benefit]]</f>
        <v>0</v>
      </c>
      <c r="J31" s="182">
        <f>Table4.1_ForegoneSummary6365[[#Totals],[Annual Benefit]]</f>
        <v>43070</v>
      </c>
      <c r="K31" s="182">
        <f>Table70[[#Totals],[Annual Benefits]]</f>
        <v>0</v>
      </c>
      <c r="L31" s="182">
        <f>Table71[[#Totals],[Annual Benefit]]</f>
        <v>0</v>
      </c>
      <c r="M31" s="184">
        <f t="shared" ca="1" si="0"/>
        <v>7904476.9199351817</v>
      </c>
      <c r="N31" s="185">
        <f ca="1">(($M31-$E31)/((1+'ES-1. Executive Summary'!$F$12)^$A31))+($E31/(1+'ES-1. Executive Summary'!$F$13)^$A31)</f>
        <v>2050738.3000731079</v>
      </c>
      <c r="O31" s="186">
        <f ca="1">$M31/((1+'ES-1. Executive Summary'!$F$13)^$A31)</f>
        <v>4376517.2200935902</v>
      </c>
    </row>
    <row r="32" spans="1:24">
      <c r="A32" s="112">
        <f t="shared" si="2"/>
        <v>21</v>
      </c>
      <c r="B32" s="112">
        <f t="shared" si="1"/>
        <v>2043</v>
      </c>
      <c r="C32" s="181">
        <f ca="1">'1B. Safety Backup'!G36</f>
        <v>5292586.7099000001</v>
      </c>
      <c r="D32" s="182">
        <f>SUM('2B. Emissions Backup'!C160:E160)</f>
        <v>8033.1499999993948</v>
      </c>
      <c r="E32" s="182">
        <f>'2B. Emissions Backup'!F160</f>
        <v>28400.499999999425</v>
      </c>
      <c r="F32" s="182">
        <f>'3D. TTS Backup All Years'!G112</f>
        <v>1449229.2392143877</v>
      </c>
      <c r="G32" s="182">
        <f>Table4.1_ForegoneSummary[[#Totals],[Annual Average]]</f>
        <v>1248819.1666666665</v>
      </c>
      <c r="H32" s="183"/>
      <c r="I32" s="182">
        <f>Table4.1_ForegoneSummary63[[#Totals],[Annual Benefit]]</f>
        <v>0</v>
      </c>
      <c r="J32" s="182">
        <f>Table4.1_ForegoneSummary6365[[#Totals],[Annual Benefit]]</f>
        <v>43070</v>
      </c>
      <c r="K32" s="182">
        <f>Table70[[#Totals],[Annual Benefits]]</f>
        <v>0</v>
      </c>
      <c r="L32" s="182">
        <f>Table71[[#Totals],[Annual Benefit]]</f>
        <v>0</v>
      </c>
      <c r="M32" s="184">
        <f t="shared" ca="1" si="0"/>
        <v>8070138.7657810524</v>
      </c>
      <c r="N32" s="185">
        <f ca="1">(($M32-$E32)/((1+'ES-1. Executive Summary'!$F$12)^$A32))+($E32/(1+'ES-1. Executive Summary'!$F$13)^$A32)</f>
        <v>1957451.6995499593</v>
      </c>
      <c r="O32" s="186">
        <f ca="1">$M32/((1+'ES-1. Executive Summary'!$F$13)^$A32)</f>
        <v>4338097.2500312654</v>
      </c>
    </row>
    <row r="33" spans="1:15">
      <c r="A33" s="112">
        <f t="shared" si="2"/>
        <v>22</v>
      </c>
      <c r="B33" s="112">
        <f t="shared" si="1"/>
        <v>2044</v>
      </c>
      <c r="C33" s="181">
        <f ca="1">'1B. Safety Backup'!G37</f>
        <v>5292586.7099000001</v>
      </c>
      <c r="D33" s="182">
        <f>SUM('2B. Emissions Backup'!C161:E161)</f>
        <v>8331.6333333326875</v>
      </c>
      <c r="E33" s="182">
        <f>'2B. Emissions Backup'!F161</f>
        <v>29482.666666666046</v>
      </c>
      <c r="F33" s="182">
        <f>'3D. TTS Backup All Years'!G113</f>
        <v>1613528.5017269263</v>
      </c>
      <c r="G33" s="182">
        <f>Table4.1_ForegoneSummary[[#Totals],[Annual Average]]</f>
        <v>1248819.1666666665</v>
      </c>
      <c r="H33" s="183"/>
      <c r="I33" s="182">
        <f>Table4.1_ForegoneSummary63[[#Totals],[Annual Benefit]]</f>
        <v>0</v>
      </c>
      <c r="J33" s="182">
        <f>Table4.1_ForegoneSummary6365[[#Totals],[Annual Benefit]]</f>
        <v>43070</v>
      </c>
      <c r="K33" s="182">
        <f>Table70[[#Totals],[Annual Benefits]]</f>
        <v>0</v>
      </c>
      <c r="L33" s="182">
        <f>Table71[[#Totals],[Annual Benefit]]</f>
        <v>0</v>
      </c>
      <c r="M33" s="184">
        <f t="shared" ca="1" si="0"/>
        <v>8235818.6782935914</v>
      </c>
      <c r="N33" s="185">
        <f ca="1">(($M33-$E33)/((1+'ES-1. Executive Summary'!$F$12)^$A33))+($E33/(1+'ES-1. Executive Summary'!$F$13)^$A33)</f>
        <v>1867664.8583491717</v>
      </c>
      <c r="O33" s="186">
        <f ca="1">$M33/((1+'ES-1. Executive Summary'!$F$13)^$A33)</f>
        <v>4298212.0068301521</v>
      </c>
    </row>
    <row r="34" spans="1:15">
      <c r="A34" s="112">
        <f t="shared" si="2"/>
        <v>23</v>
      </c>
      <c r="B34" s="112">
        <f t="shared" si="1"/>
        <v>2045</v>
      </c>
      <c r="C34" s="181">
        <f ca="1">'1B. Safety Backup'!G38</f>
        <v>5292586.7099000001</v>
      </c>
      <c r="D34" s="182">
        <f>SUM('2B. Emissions Backup'!C162:E162)</f>
        <v>8630.116666665981</v>
      </c>
      <c r="E34" s="182">
        <f>'2B. Emissions Backup'!F162</f>
        <v>30582.899999999332</v>
      </c>
      <c r="F34" s="182">
        <f>'3D. TTS Backup All Years'!G114</f>
        <v>1777827.7642394637</v>
      </c>
      <c r="G34" s="182">
        <f>Table4.1_ForegoneSummary[[#Totals],[Annual Average]]</f>
        <v>1248819.1666666665</v>
      </c>
      <c r="H34" s="183"/>
      <c r="I34" s="182">
        <f>Table4.1_ForegoneSummary63[[#Totals],[Annual Benefit]]</f>
        <v>0</v>
      </c>
      <c r="J34" s="182">
        <f>Table4.1_ForegoneSummary6365[[#Totals],[Annual Benefit]]</f>
        <v>43070</v>
      </c>
      <c r="K34" s="182">
        <f>Table70[[#Totals],[Annual Benefits]]</f>
        <v>0</v>
      </c>
      <c r="L34" s="182">
        <f>Table71[[#Totals],[Annual Benefit]]</f>
        <v>0</v>
      </c>
      <c r="M34" s="184">
        <f t="shared" ca="1" si="0"/>
        <v>8401516.6574727967</v>
      </c>
      <c r="N34" s="185">
        <f ca="1">(($M34-$E34)/((1+'ES-1. Executive Summary'!$F$12)^$A34))+($E34/(1+'ES-1. Executive Summary'!$F$13)^$A34)</f>
        <v>1781318.4899011625</v>
      </c>
      <c r="O34" s="186">
        <f ca="1">$M34/((1+'ES-1. Executive Summary'!$F$13)^$A34)</f>
        <v>4256979.1646360951</v>
      </c>
    </row>
    <row r="35" spans="1:15">
      <c r="A35" s="112">
        <f t="shared" si="2"/>
        <v>24</v>
      </c>
      <c r="B35" s="112">
        <f t="shared" si="1"/>
        <v>2046</v>
      </c>
      <c r="C35" s="181">
        <f ca="1">'1B. Safety Backup'!G39</f>
        <v>5292586.7099000001</v>
      </c>
      <c r="D35" s="182">
        <f>SUM('2B. Emissions Backup'!C163:E163)</f>
        <v>8928.5999999992728</v>
      </c>
      <c r="E35" s="182">
        <f>'2B. Emissions Backup'!F163</f>
        <v>31701.199999999284</v>
      </c>
      <c r="F35" s="182">
        <f>'3D. TTS Backup All Years'!G115</f>
        <v>1942127.0267520014</v>
      </c>
      <c r="G35" s="182">
        <f>Table4.1_ForegoneSummary[[#Totals],[Annual Average]]</f>
        <v>1248819.1666666665</v>
      </c>
      <c r="H35" s="183"/>
      <c r="I35" s="182">
        <f>Table4.1_ForegoneSummary63[[#Totals],[Annual Benefit]]</f>
        <v>0</v>
      </c>
      <c r="J35" s="182">
        <f>Table4.1_ForegoneSummary6365[[#Totals],[Annual Benefit]]</f>
        <v>43070</v>
      </c>
      <c r="K35" s="182">
        <f>Table70[[#Totals],[Annual Benefits]]</f>
        <v>0</v>
      </c>
      <c r="L35" s="182">
        <f>Table71[[#Totals],[Annual Benefit]]</f>
        <v>0</v>
      </c>
      <c r="M35" s="184">
        <f t="shared" ca="1" si="0"/>
        <v>8567232.7033186667</v>
      </c>
      <c r="N35" s="185">
        <f ca="1">(($M35-$E35)/((1+'ES-1. Executive Summary'!$F$12)^$A35))+($E35/(1+'ES-1. Executive Summary'!$F$13)^$A35)</f>
        <v>1698346.0751081896</v>
      </c>
      <c r="O35" s="186">
        <f ca="1">$M35/((1+'ES-1. Executive Summary'!$F$13)^$A35)</f>
        <v>4214510.7938335873</v>
      </c>
    </row>
    <row r="36" spans="1:15">
      <c r="A36" s="112">
        <f t="shared" si="2"/>
        <v>25</v>
      </c>
      <c r="B36" s="112">
        <f t="shared" si="1"/>
        <v>2047</v>
      </c>
      <c r="C36" s="181">
        <f ca="1">'1B. Safety Backup'!G40</f>
        <v>5292586.7099000001</v>
      </c>
      <c r="D36" s="182">
        <f>SUM('2B. Emissions Backup'!C164:E164)</f>
        <v>9227.0833333325918</v>
      </c>
      <c r="E36" s="182">
        <f>'2B. Emissions Backup'!F164</f>
        <v>33233.199999999226</v>
      </c>
      <c r="F36" s="182">
        <f>'3D. TTS Backup All Years'!G116</f>
        <v>2106426.2892645402</v>
      </c>
      <c r="G36" s="182">
        <f>Table4.1_ForegoneSummary[[#Totals],[Annual Average]]</f>
        <v>1248819.1666666665</v>
      </c>
      <c r="H36" s="183"/>
      <c r="I36" s="182">
        <f>Table4.1_ForegoneSummary63[[#Totals],[Annual Benefit]]</f>
        <v>0</v>
      </c>
      <c r="J36" s="182">
        <f>Table4.1_ForegoneSummary6365[[#Totals],[Annual Benefit]]</f>
        <v>43070</v>
      </c>
      <c r="K36" s="182">
        <f>Table70[[#Totals],[Annual Benefits]]</f>
        <v>0</v>
      </c>
      <c r="L36" s="182">
        <f>Table71[[#Totals],[Annual Benefit]]</f>
        <v>0</v>
      </c>
      <c r="M36" s="184">
        <f t="shared" ca="1" si="0"/>
        <v>8733362.4491645396</v>
      </c>
      <c r="N36" s="185">
        <f ca="1">(($M36-$E36)/((1+'ES-1. Executive Summary'!$F$12)^$A36))+($E36/(1+'ES-1. Executive Summary'!$F$13)^$A36)</f>
        <v>1618864.0199001324</v>
      </c>
      <c r="O36" s="186">
        <f ca="1">$M36/((1+'ES-1. Executive Summary'!$F$13)^$A36)</f>
        <v>4171102.5441016322</v>
      </c>
    </row>
    <row r="37" spans="1:15">
      <c r="A37" s="112">
        <f t="shared" si="2"/>
        <v>26</v>
      </c>
      <c r="B37" s="112">
        <f t="shared" si="1"/>
        <v>2048</v>
      </c>
      <c r="C37" s="181">
        <f ca="1">'1B. Safety Backup'!G41</f>
        <v>5292586.7099000001</v>
      </c>
      <c r="D37" s="182">
        <f>SUM('2B. Emissions Backup'!C165:E165)</f>
        <v>9525.566666665909</v>
      </c>
      <c r="E37" s="182">
        <f>'2B. Emissions Backup'!F165</f>
        <v>34396.666666665842</v>
      </c>
      <c r="F37" s="182">
        <f>'3D. TTS Backup All Years'!G117</f>
        <v>2270725.5517770778</v>
      </c>
      <c r="G37" s="182">
        <f>Table4.1_ForegoneSummary[[#Totals],[Annual Average]]</f>
        <v>1248819.1666666665</v>
      </c>
      <c r="H37" s="183"/>
      <c r="I37" s="182">
        <f>Table4.1_ForegoneSummary63[[#Totals],[Annual Benefit]]</f>
        <v>0</v>
      </c>
      <c r="J37" s="182">
        <f>Table4.1_ForegoneSummary6365[[#Totals],[Annual Benefit]]</f>
        <v>43070</v>
      </c>
      <c r="K37" s="182">
        <f>Table70[[#Totals],[Annual Benefits]]</f>
        <v>0</v>
      </c>
      <c r="L37" s="182">
        <f>Table71[[#Totals],[Annual Benefit]]</f>
        <v>0</v>
      </c>
      <c r="M37" s="184">
        <f t="shared" ca="1" si="0"/>
        <v>8899123.6616770755</v>
      </c>
      <c r="N37" s="185">
        <f ca="1">(($M37-$E37)/((1+'ES-1. Executive Summary'!$F$12)^$A37))+($E37/(1+'ES-1. Executive Summary'!$F$13)^$A37)</f>
        <v>1542415.5882924211</v>
      </c>
      <c r="O37" s="186">
        <f ca="1">$M37/((1+'ES-1. Executive Summary'!$F$13)^$A37)</f>
        <v>4126476.7207428971</v>
      </c>
    </row>
    <row r="38" spans="1:15">
      <c r="A38" s="112">
        <f t="shared" si="2"/>
        <v>27</v>
      </c>
      <c r="B38" s="112">
        <f t="shared" si="1"/>
        <v>2049</v>
      </c>
      <c r="C38" s="181">
        <f ca="1">'1B. Safety Backup'!G42</f>
        <v>5292586.7099000001</v>
      </c>
      <c r="D38" s="182">
        <f>SUM('2B. Emissions Backup'!C166:E166)</f>
        <v>9824.049999999228</v>
      </c>
      <c r="E38" s="182">
        <f>'2B. Emissions Backup'!F166</f>
        <v>35578.199999999124</v>
      </c>
      <c r="F38" s="182">
        <f>'3D. TTS Backup All Years'!G118</f>
        <v>2435024.8142896164</v>
      </c>
      <c r="G38" s="182">
        <f>Table4.1_ForegoneSummary[[#Totals],[Annual Average]]</f>
        <v>1248819.1666666665</v>
      </c>
      <c r="H38" s="183"/>
      <c r="I38" s="182">
        <f>Table4.1_ForegoneSummary63[[#Totals],[Annual Benefit]]</f>
        <v>0</v>
      </c>
      <c r="J38" s="182">
        <f>Table4.1_ForegoneSummary6365[[#Totals],[Annual Benefit]]</f>
        <v>43070</v>
      </c>
      <c r="K38" s="182">
        <f>Table70[[#Totals],[Annual Benefits]]</f>
        <v>0</v>
      </c>
      <c r="L38" s="182">
        <f>Table71[[#Totals],[Annual Benefit]]</f>
        <v>0</v>
      </c>
      <c r="M38" s="184">
        <f t="shared" ca="1" si="0"/>
        <v>9064902.9408562817</v>
      </c>
      <c r="N38" s="185">
        <f ca="1">(($M38-$E38)/((1+'ES-1. Executive Summary'!$F$12)^$A38))+($E38/(1+'ES-1. Executive Summary'!$F$13)^$A38)</f>
        <v>1469109.4632845193</v>
      </c>
      <c r="O38" s="186">
        <f ca="1">$M38/((1+'ES-1. Executive Summary'!$F$13)^$A38)</f>
        <v>4080920.0955503415</v>
      </c>
    </row>
    <row r="39" spans="1:15">
      <c r="A39" s="112">
        <f t="shared" si="2"/>
        <v>28</v>
      </c>
      <c r="B39" s="112">
        <f t="shared" si="1"/>
        <v>2050</v>
      </c>
      <c r="C39" s="181">
        <f ca="1">'1B. Safety Backup'!G43</f>
        <v>5292586.7099000001</v>
      </c>
      <c r="D39" s="182">
        <f>SUM('2B. Emissions Backup'!C167:E167)</f>
        <v>10122.533333332545</v>
      </c>
      <c r="E39" s="182">
        <f>'2B. Emissions Backup'!F167</f>
        <v>36777.799999999072</v>
      </c>
      <c r="F39" s="182">
        <f>'3D. TTS Backup All Years'!G119</f>
        <v>2599324.0768021536</v>
      </c>
      <c r="G39" s="182">
        <f>Table4.1_ForegoneSummary[[#Totals],[Annual Average]]</f>
        <v>1248819.1666666665</v>
      </c>
      <c r="H39" s="183"/>
      <c r="I39" s="182">
        <f>Table4.1_ForegoneSummary63[[#Totals],[Annual Benefit]]</f>
        <v>0</v>
      </c>
      <c r="J39" s="182">
        <f>Table4.1_ForegoneSummary6365[[#Totals],[Annual Benefit]]</f>
        <v>43070</v>
      </c>
      <c r="K39" s="182">
        <f>Table70[[#Totals],[Annual Benefits]]</f>
        <v>0</v>
      </c>
      <c r="L39" s="182">
        <f>Table71[[#Totals],[Annual Benefit]]</f>
        <v>0</v>
      </c>
      <c r="M39" s="184">
        <f t="shared" ca="1" si="0"/>
        <v>9230700.2867021505</v>
      </c>
      <c r="N39" s="185">
        <f ca="1">(($M39-$E39)/((1+'ES-1. Executive Summary'!$F$12)^$A39))+($E39/(1+'ES-1. Executive Summary'!$F$13)^$A39)</f>
        <v>1398861.0043253468</v>
      </c>
      <c r="O39" s="186">
        <f ca="1">$M39/((1+'ES-1. Executive Summary'!$F$13)^$A39)</f>
        <v>4034524.5108010927</v>
      </c>
    </row>
    <row r="40" spans="1:15">
      <c r="A40" s="112">
        <f t="shared" si="2"/>
        <v>29</v>
      </c>
      <c r="B40" s="112">
        <f t="shared" si="1"/>
        <v>2051</v>
      </c>
      <c r="C40" s="181">
        <f ca="1">'1B. Safety Backup'!G44</f>
        <v>5292586.7099000001</v>
      </c>
      <c r="D40" s="182">
        <f>SUM('2B. Emissions Backup'!C168:E168)</f>
        <v>10421.016666665888</v>
      </c>
      <c r="E40" s="182">
        <f>'2B. Emissions Backup'!F168</f>
        <v>37995.466666665685</v>
      </c>
      <c r="F40" s="182">
        <f>'3D. TTS Backup All Years'!G120</f>
        <v>2763623.3393146927</v>
      </c>
      <c r="G40" s="182">
        <f>Table4.1_ForegoneSummary[[#Totals],[Annual Average]]</f>
        <v>1248819.1666666665</v>
      </c>
      <c r="H40" s="183"/>
      <c r="I40" s="182">
        <f>Table4.1_ForegoneSummary63[[#Totals],[Annual Benefit]]</f>
        <v>0</v>
      </c>
      <c r="J40" s="182">
        <f>Table4.1_ForegoneSummary6365[[#Totals],[Annual Benefit]]</f>
        <v>43070</v>
      </c>
      <c r="K40" s="182">
        <f>Table70[[#Totals],[Annual Benefits]]</f>
        <v>0</v>
      </c>
      <c r="L40" s="182">
        <f>Table71[[#Totals],[Annual Benefit]]</f>
        <v>0</v>
      </c>
      <c r="M40" s="184">
        <f t="shared" ca="1" si="0"/>
        <v>9396515.6992146913</v>
      </c>
      <c r="N40" s="185">
        <f ca="1">(($M40-$E40)/((1+'ES-1. Executive Summary'!$F$12)^$A40))+($E40/(1+'ES-1. Executive Summary'!$F$13)^$A40)</f>
        <v>1331583.1895114703</v>
      </c>
      <c r="O40" s="186">
        <f ca="1">$M40/((1+'ES-1. Executive Summary'!$F$13)^$A40)</f>
        <v>3987377.255269601</v>
      </c>
    </row>
    <row r="41" spans="1:15">
      <c r="A41" s="112">
        <f t="shared" si="2"/>
        <v>30</v>
      </c>
      <c r="B41" s="112">
        <f t="shared" si="1"/>
        <v>2052</v>
      </c>
      <c r="C41" s="181">
        <f ca="1">'1B. Safety Backup'!G45</f>
        <v>5292586.7099000001</v>
      </c>
      <c r="D41" s="182">
        <f>SUM('2B. Emissions Backup'!C169:E169)</f>
        <v>10719.499999999231</v>
      </c>
      <c r="E41" s="182">
        <f>'2B. Emissions Backup'!F169</f>
        <v>37027.199999999022</v>
      </c>
      <c r="F41" s="182">
        <f>'3D. TTS Backup All Years'!G121</f>
        <v>2927922.6018272298</v>
      </c>
      <c r="G41" s="182">
        <f>Table4.1_ForegoneSummary[[#Totals],[Annual Average]]</f>
        <v>1248819.1666666665</v>
      </c>
      <c r="H41" s="183"/>
      <c r="I41" s="182">
        <f>Table4.1_ForegoneSummary63[[#Totals],[Annual Benefit]]</f>
        <v>0</v>
      </c>
      <c r="J41" s="182">
        <f>Table4.1_ForegoneSummary6365[[#Totals],[Annual Benefit]]</f>
        <v>43070</v>
      </c>
      <c r="K41" s="182">
        <f>Table70[[#Totals],[Annual Benefits]]</f>
        <v>0</v>
      </c>
      <c r="L41" s="182">
        <f>Table71[[#Totals],[Annual Benefit]]</f>
        <v>0</v>
      </c>
      <c r="M41" s="184">
        <f t="shared" ca="1" si="0"/>
        <v>9560145.1783938948</v>
      </c>
      <c r="N41" s="185">
        <f ca="1">(($M41-$E41)/((1+'ES-1. Executive Summary'!$F$12)^$A41))+($E41/(1+'ES-1. Executive Summary'!$F$13)^$A41)</f>
        <v>1266279.2712865984</v>
      </c>
      <c r="O41" s="186">
        <f ca="1">$M41/((1+'ES-1. Executive Summary'!$F$13)^$A41)</f>
        <v>3938653.2325481223</v>
      </c>
    </row>
    <row r="42" spans="1:15">
      <c r="A42" s="112">
        <f t="shared" si="2"/>
        <v>31</v>
      </c>
      <c r="B42" s="112">
        <f t="shared" si="1"/>
        <v>2053</v>
      </c>
      <c r="C42" s="181">
        <f ca="1">'1B. Safety Backup'!G46</f>
        <v>5292586.7099000001</v>
      </c>
      <c r="D42" s="182">
        <f>SUM('2B. Emissions Backup'!C170:E170)</f>
        <v>11017.983333332573</v>
      </c>
      <c r="E42" s="182">
        <f>'2B. Emissions Backup'!F170</f>
        <v>38235.833333332303</v>
      </c>
      <c r="F42" s="182">
        <f>'3D. TTS Backup All Years'!G122</f>
        <v>3092221.864339767</v>
      </c>
      <c r="G42" s="182">
        <f>Table4.1_ForegoneSummary[[#Totals],[Annual Average]]</f>
        <v>1248819.1666666665</v>
      </c>
      <c r="H42" s="183"/>
      <c r="I42" s="182">
        <f>Table4.1_ForegoneSummary63[[#Totals],[Annual Benefit]]</f>
        <v>0</v>
      </c>
      <c r="J42" s="182">
        <f>Table4.1_ForegoneSummary6365[[#Totals],[Annual Benefit]]</f>
        <v>43070</v>
      </c>
      <c r="K42" s="182">
        <f>Table70[[#Totals],[Annual Benefits]]</f>
        <v>0</v>
      </c>
      <c r="L42" s="182">
        <f>Table71[[#Totals],[Annual Benefit]]</f>
        <v>0</v>
      </c>
      <c r="M42" s="184">
        <f t="shared" ca="1" si="0"/>
        <v>9725951.5575730968</v>
      </c>
      <c r="N42" s="185">
        <f ca="1">(($M42-$E42)/((1+'ES-1. Executive Summary'!$F$12)^$A42))+($E42/(1+'ES-1. Executive Summary'!$F$13)^$A42)</f>
        <v>1204683.8292071689</v>
      </c>
      <c r="O42" s="186">
        <f ca="1">$M42/((1+'ES-1. Executive Summary'!$F$13)^$A42)</f>
        <v>3890255.59748857</v>
      </c>
    </row>
    <row r="43" spans="1:15">
      <c r="A43" s="112">
        <f t="shared" si="2"/>
        <v>32</v>
      </c>
      <c r="B43" s="112">
        <f t="shared" si="1"/>
        <v>2054</v>
      </c>
      <c r="C43" s="181">
        <f ca="1">'1B. Safety Backup'!G47</f>
        <v>5292586.7099000001</v>
      </c>
      <c r="D43" s="182">
        <f>SUM('2B. Emissions Backup'!C171:E171)</f>
        <v>11316.466666665918</v>
      </c>
      <c r="E43" s="182">
        <f>'2B. Emissions Backup'!F171</f>
        <v>39462.533333332249</v>
      </c>
      <c r="F43" s="182">
        <f>'3D. TTS Backup All Years'!G123</f>
        <v>3256521.1268523061</v>
      </c>
      <c r="G43" s="182">
        <f>Table4.1_ForegoneSummary[[#Totals],[Annual Average]]</f>
        <v>1248819.1666666665</v>
      </c>
      <c r="H43" s="183"/>
      <c r="I43" s="182">
        <f>Table4.1_ForegoneSummary63[[#Totals],[Annual Benefit]]</f>
        <v>0</v>
      </c>
      <c r="J43" s="182">
        <f>Table4.1_ForegoneSummary6365[[#Totals],[Annual Benefit]]</f>
        <v>43070</v>
      </c>
      <c r="K43" s="182">
        <f>Table70[[#Totals],[Annual Benefits]]</f>
        <v>0</v>
      </c>
      <c r="L43" s="182">
        <f>Table71[[#Totals],[Annual Benefit]]</f>
        <v>0</v>
      </c>
      <c r="M43" s="184">
        <f t="shared" ca="1" si="0"/>
        <v>9891776.0034189709</v>
      </c>
      <c r="N43" s="185">
        <f ca="1">(($M43-$E43)/((1+'ES-1. Executive Summary'!$F$12)^$A43))+($E43/(1+'ES-1. Executive Summary'!$F$13)^$A43)</f>
        <v>1145790.3216033925</v>
      </c>
      <c r="O43" s="186">
        <f ca="1">$M43/((1+'ES-1. Executive Summary'!$F$13)^$A43)</f>
        <v>3841342.9555149311</v>
      </c>
    </row>
    <row r="44" spans="1:15">
      <c r="A44" s="112">
        <f t="shared" si="2"/>
        <v>33</v>
      </c>
      <c r="B44" s="112">
        <f t="shared" si="1"/>
        <v>2055</v>
      </c>
      <c r="C44" s="181">
        <f ca="1">'1B. Safety Backup'!G48</f>
        <v>5292586.7099000001</v>
      </c>
      <c r="D44" s="182">
        <f>SUM('2B. Emissions Backup'!C172:E172)</f>
        <v>11614.94999999926</v>
      </c>
      <c r="E44" s="182">
        <f>'2B. Emissions Backup'!F172</f>
        <v>40707.299999998861</v>
      </c>
      <c r="F44" s="182">
        <f>'3D. TTS Backup All Years'!G124</f>
        <v>3420820.3893648442</v>
      </c>
      <c r="G44" s="182">
        <f>Table4.1_ForegoneSummary[[#Totals],[Annual Average]]</f>
        <v>1248819.1666666665</v>
      </c>
      <c r="H44" s="183"/>
      <c r="I44" s="182">
        <f>Table4.1_ForegoneSummary63[[#Totals],[Annual Benefit]]</f>
        <v>0</v>
      </c>
      <c r="J44" s="182">
        <f>Table4.1_ForegoneSummary6365[[#Totals],[Annual Benefit]]</f>
        <v>43070</v>
      </c>
      <c r="K44" s="182">
        <f>Table70[[#Totals],[Annual Benefits]]</f>
        <v>0</v>
      </c>
      <c r="L44" s="182">
        <f>Table71[[#Totals],[Annual Benefit]]</f>
        <v>0</v>
      </c>
      <c r="M44" s="184">
        <f t="shared" ca="1" si="0"/>
        <v>10057618.515931508</v>
      </c>
      <c r="N44" s="185">
        <f ca="1">(($M44-$E44)/((1+'ES-1. Executive Summary'!$F$12)^$A44))+($E44/(1+'ES-1. Executive Summary'!$F$13)^$A44)</f>
        <v>1089508.1779465529</v>
      </c>
      <c r="O44" s="186">
        <f ca="1">$M44/((1+'ES-1. Executive Summary'!$F$13)^$A44)</f>
        <v>3791986.160153274</v>
      </c>
    </row>
    <row r="45" spans="1:15">
      <c r="A45" s="112">
        <f t="shared" si="2"/>
        <v>34</v>
      </c>
      <c r="B45" s="112">
        <f t="shared" si="1"/>
        <v>2056</v>
      </c>
      <c r="C45" s="181">
        <f ca="1">'1B. Safety Backup'!G49</f>
        <v>5292586.7099000001</v>
      </c>
      <c r="D45" s="182">
        <f>SUM('2B. Emissions Backup'!C173:E173)</f>
        <v>11913.433333332603</v>
      </c>
      <c r="E45" s="182">
        <f>'2B. Emissions Backup'!F173</f>
        <v>41970.133333332138</v>
      </c>
      <c r="F45" s="182">
        <f>'3D. TTS Backup All Years'!G125</f>
        <v>3585119.6518773818</v>
      </c>
      <c r="G45" s="182">
        <f>Table4.1_ForegoneSummary[[#Totals],[Annual Average]]</f>
        <v>1248819.1666666665</v>
      </c>
      <c r="H45" s="183"/>
      <c r="I45" s="182">
        <f>Table4.1_ForegoneSummary63[[#Totals],[Annual Benefit]]</f>
        <v>0</v>
      </c>
      <c r="J45" s="182">
        <f>Table4.1_ForegoneSummary6365[[#Totals],[Annual Benefit]]</f>
        <v>43070</v>
      </c>
      <c r="K45" s="182">
        <f>Table70[[#Totals],[Annual Benefits]]</f>
        <v>0</v>
      </c>
      <c r="L45" s="182">
        <f>Table71[[#Totals],[Annual Benefit]]</f>
        <v>0</v>
      </c>
      <c r="M45" s="184">
        <f t="shared" ca="1" si="0"/>
        <v>10223479.095110713</v>
      </c>
      <c r="N45" s="185">
        <f ca="1">(($M45-$E45)/((1+'ES-1. Executive Summary'!$F$12)^$A45))+($E45/(1+'ES-1. Executive Summary'!$F$13)^$A45)</f>
        <v>1035747.1094315065</v>
      </c>
      <c r="O45" s="186">
        <f ca="1">$M45/((1+'ES-1. Executive Summary'!$F$13)^$A45)</f>
        <v>3742252.380390767</v>
      </c>
    </row>
    <row r="46" spans="1:15">
      <c r="A46" s="112">
        <f t="shared" si="2"/>
        <v>35</v>
      </c>
      <c r="B46" s="112">
        <f t="shared" si="1"/>
        <v>2057</v>
      </c>
      <c r="C46" s="181">
        <f ca="1">'1B. Safety Backup'!G50</f>
        <v>5292586.7099000001</v>
      </c>
      <c r="D46" s="182">
        <f>SUM('2B. Emissions Backup'!C174:E174)</f>
        <v>12211.916666665948</v>
      </c>
      <c r="E46" s="182">
        <f>'2B. Emissions Backup'!F174</f>
        <v>43251.033333332081</v>
      </c>
      <c r="F46" s="182">
        <f>'3D. TTS Backup All Years'!G126</f>
        <v>3749418.9143899204</v>
      </c>
      <c r="G46" s="182">
        <f>Table4.1_ForegoneSummary[[#Totals],[Annual Average]]</f>
        <v>1248819.1666666665</v>
      </c>
      <c r="H46" s="183"/>
      <c r="I46" s="182">
        <f>Table4.1_ForegoneSummary63[[#Totals],[Annual Benefit]]</f>
        <v>0</v>
      </c>
      <c r="J46" s="182">
        <f>Table4.1_ForegoneSummary6365[[#Totals],[Annual Benefit]]</f>
        <v>43070</v>
      </c>
      <c r="K46" s="182">
        <f>Table70[[#Totals],[Annual Benefits]]</f>
        <v>0</v>
      </c>
      <c r="L46" s="182">
        <f>Table71[[#Totals],[Annual Benefit]]</f>
        <v>0</v>
      </c>
      <c r="M46" s="184">
        <f t="shared" ca="1" si="0"/>
        <v>10389357.740956584</v>
      </c>
      <c r="N46" s="185">
        <f ca="1">(($M46-$E46)/((1+'ES-1. Executive Summary'!$F$12)^$A46))+($E46/(1+'ES-1. Executive Summary'!$F$13)^$A46)</f>
        <v>984417.46031623508</v>
      </c>
      <c r="O46" s="186">
        <f ca="1">$M46/((1+'ES-1. Executive Summary'!$F$13)^$A46)</f>
        <v>3692205.2550280225</v>
      </c>
    </row>
    <row r="47" spans="1:15">
      <c r="A47" s="112">
        <f t="shared" si="2"/>
        <v>36</v>
      </c>
      <c r="B47" s="112">
        <f t="shared" si="1"/>
        <v>2058</v>
      </c>
      <c r="C47" s="181">
        <f ca="1">'1B. Safety Backup'!G51</f>
        <v>5292586.7099000001</v>
      </c>
      <c r="D47" s="182">
        <f>SUM('2B. Emissions Backup'!C175:E175)</f>
        <v>12510.399999999987</v>
      </c>
      <c r="E47" s="182">
        <f>'2B. Emissions Backup'!F175</f>
        <v>44550</v>
      </c>
      <c r="F47" s="182">
        <f>'3D. TTS Backup All Years'!G127</f>
        <v>3913718.1769024576</v>
      </c>
      <c r="G47" s="182">
        <f>Table4.1_ForegoneSummary[[#Totals],[Annual Average]]</f>
        <v>1248819.1666666665</v>
      </c>
      <c r="H47" s="183"/>
      <c r="I47" s="182">
        <f>Table4.1_ForegoneSummary63[[#Totals],[Annual Benefit]]</f>
        <v>0</v>
      </c>
      <c r="J47" s="182">
        <f>Table4.1_ForegoneSummary6365[[#Totals],[Annual Benefit]]</f>
        <v>43070</v>
      </c>
      <c r="K47" s="182">
        <f>Table70[[#Totals],[Annual Benefits]]</f>
        <v>0</v>
      </c>
      <c r="L47" s="182">
        <f>Table71[[#Totals],[Annual Benefit]]</f>
        <v>0</v>
      </c>
      <c r="M47" s="184">
        <f t="shared" ca="1" si="0"/>
        <v>10555254.453469124</v>
      </c>
      <c r="N47" s="185">
        <f ca="1">(($M47-$E47)/((1+'ES-1. Executive Summary'!$F$12)^$A47))+($E47/(1+'ES-1. Executive Summary'!$F$13)^$A47)</f>
        <v>935430.51206454239</v>
      </c>
      <c r="O47" s="186">
        <f ca="1">$M47/((1+'ES-1. Executive Summary'!$F$13)^$A47)</f>
        <v>3641905.0411708448</v>
      </c>
    </row>
    <row r="48" spans="1:15" hidden="1">
      <c r="A48" s="112">
        <f t="shared" si="2"/>
        <v>37</v>
      </c>
      <c r="B48" s="112" t="str">
        <f t="shared" si="1"/>
        <v/>
      </c>
      <c r="C48" s="181"/>
      <c r="D48" s="182"/>
      <c r="E48" s="182"/>
      <c r="F48" s="182"/>
      <c r="G48" s="182"/>
      <c r="H48" s="183"/>
      <c r="I48" s="182"/>
      <c r="J48" s="182"/>
      <c r="K48" s="182"/>
      <c r="L48" s="182"/>
      <c r="M48" s="184">
        <f t="shared" si="0"/>
        <v>0</v>
      </c>
      <c r="N48" s="185">
        <v>0</v>
      </c>
      <c r="O48" s="186">
        <v>0</v>
      </c>
    </row>
    <row r="49" spans="1:15" hidden="1">
      <c r="A49" s="112">
        <f t="shared" si="2"/>
        <v>38</v>
      </c>
      <c r="B49" s="112" t="str">
        <f t="shared" si="1"/>
        <v/>
      </c>
      <c r="C49" s="181"/>
      <c r="D49" s="182"/>
      <c r="E49" s="182"/>
      <c r="F49" s="182"/>
      <c r="G49" s="182"/>
      <c r="H49" s="183"/>
      <c r="I49" s="182"/>
      <c r="J49" s="182"/>
      <c r="K49" s="182"/>
      <c r="L49" s="182"/>
      <c r="M49" s="184">
        <f t="shared" si="0"/>
        <v>0</v>
      </c>
      <c r="N49" s="185">
        <v>0</v>
      </c>
      <c r="O49" s="186">
        <v>0</v>
      </c>
    </row>
    <row r="50" spans="1:15" hidden="1">
      <c r="A50" s="112">
        <f t="shared" si="2"/>
        <v>39</v>
      </c>
      <c r="B50" s="112" t="str">
        <f t="shared" si="1"/>
        <v/>
      </c>
      <c r="C50" s="181"/>
      <c r="D50" s="182"/>
      <c r="E50" s="182"/>
      <c r="F50" s="182"/>
      <c r="G50" s="182"/>
      <c r="H50" s="183"/>
      <c r="I50" s="182"/>
      <c r="J50" s="182"/>
      <c r="K50" s="182"/>
      <c r="L50" s="182"/>
      <c r="M50" s="184">
        <f t="shared" si="0"/>
        <v>0</v>
      </c>
      <c r="N50" s="185">
        <v>0</v>
      </c>
      <c r="O50" s="186">
        <v>0</v>
      </c>
    </row>
    <row r="51" spans="1:15" hidden="1">
      <c r="A51" s="112">
        <f t="shared" si="2"/>
        <v>40</v>
      </c>
      <c r="B51" s="112" t="str">
        <f t="shared" si="1"/>
        <v/>
      </c>
      <c r="C51" s="181"/>
      <c r="D51" s="182"/>
      <c r="E51" s="182"/>
      <c r="F51" s="182"/>
      <c r="G51" s="182"/>
      <c r="H51" s="183"/>
      <c r="I51" s="182"/>
      <c r="J51" s="182"/>
      <c r="K51" s="182"/>
      <c r="L51" s="182"/>
      <c r="M51" s="184">
        <f t="shared" si="0"/>
        <v>0</v>
      </c>
      <c r="N51" s="185">
        <v>0</v>
      </c>
      <c r="O51" s="186">
        <v>0</v>
      </c>
    </row>
    <row r="52" spans="1:15" ht="33" customHeight="1">
      <c r="A52" s="402" t="s">
        <v>43</v>
      </c>
      <c r="B52" s="402"/>
      <c r="C52" s="196">
        <f ca="1">SUM(C12:C51)</f>
        <v>158777601.29700005</v>
      </c>
      <c r="D52" s="196">
        <f t="shared" ref="D52:L52" si="3">SUM(D12:D51)</f>
        <v>245265.04999998483</v>
      </c>
      <c r="E52" s="196">
        <f t="shared" si="3"/>
        <v>871123.13333331607</v>
      </c>
      <c r="F52" s="196">
        <f t="shared" si="3"/>
        <v>45941366.114119709</v>
      </c>
      <c r="G52" s="196">
        <f t="shared" ref="G52" si="4">SUM(G12:G51)</f>
        <v>79935217</v>
      </c>
      <c r="H52" s="311">
        <f t="shared" si="3"/>
        <v>3000000</v>
      </c>
      <c r="I52" s="196">
        <f t="shared" si="3"/>
        <v>0</v>
      </c>
      <c r="J52" s="196">
        <f t="shared" si="3"/>
        <v>1292100</v>
      </c>
      <c r="K52" s="196">
        <f t="shared" si="3"/>
        <v>0</v>
      </c>
      <c r="L52" s="196">
        <f t="shared" si="3"/>
        <v>0</v>
      </c>
      <c r="M52" s="197">
        <f t="shared" ref="M52:O52" ca="1" si="5">SUM(M12:M47)</f>
        <v>290062672.59445298</v>
      </c>
      <c r="N52" s="198">
        <f ca="1">SUM(N12:N47)</f>
        <v>95203704.862088308</v>
      </c>
      <c r="O52" s="199">
        <f t="shared" ca="1" si="5"/>
        <v>167910698.48160008</v>
      </c>
    </row>
    <row r="55" spans="1:15">
      <c r="A55" s="71" t="s">
        <v>44</v>
      </c>
    </row>
    <row r="56" spans="1:15">
      <c r="C56" s="403"/>
      <c r="D56" s="403"/>
      <c r="E56" s="403"/>
      <c r="F56" s="403"/>
      <c r="G56" s="403"/>
      <c r="H56" s="403"/>
      <c r="I56" s="403"/>
    </row>
    <row r="57" spans="1:15" ht="25.5">
      <c r="A57" s="256" t="s">
        <v>29</v>
      </c>
      <c r="B57" s="256" t="s">
        <v>19</v>
      </c>
      <c r="C57" s="256" t="s">
        <v>45</v>
      </c>
      <c r="D57" s="256" t="s">
        <v>46</v>
      </c>
      <c r="E57" s="256" t="s">
        <v>47</v>
      </c>
      <c r="F57" s="256" t="s">
        <v>48</v>
      </c>
      <c r="G57" s="317" t="s">
        <v>49</v>
      </c>
      <c r="H57" s="315" t="s">
        <v>50</v>
      </c>
      <c r="I57" s="316" t="s">
        <v>51</v>
      </c>
    </row>
    <row r="58" spans="1:15">
      <c r="A58" s="112">
        <v>1</v>
      </c>
      <c r="B58" s="112">
        <f>First_Year</f>
        <v>2023</v>
      </c>
      <c r="C58" s="334">
        <f>'11. Work Zone Impact Costs'!B27</f>
        <v>0</v>
      </c>
      <c r="D58" s="187">
        <v>0</v>
      </c>
      <c r="E58" s="187">
        <f>'10. Future Eligible Costs'!G15</f>
        <v>610000</v>
      </c>
      <c r="F58" s="187"/>
      <c r="G58" s="188">
        <f>SUM(C58:F58)</f>
        <v>610000</v>
      </c>
      <c r="H58" s="185">
        <f>$G58/((1+'ES-1. Executive Summary'!$F$12)^$A12)</f>
        <v>570093.45794392517</v>
      </c>
      <c r="I58" s="186">
        <f>$G58/((1+'ES-1. Executive Summary'!$F$13)^$A12)</f>
        <v>592233.00970873784</v>
      </c>
    </row>
    <row r="59" spans="1:15">
      <c r="A59" s="112">
        <f>A58+1</f>
        <v>2</v>
      </c>
      <c r="B59" s="112">
        <f t="shared" ref="B59:B97" si="6">IFERROR(IF(B58+1&lt;Last_Year+1,B58+1,""),"")</f>
        <v>2024</v>
      </c>
      <c r="C59" s="334">
        <f>'11. Work Zone Impact Costs'!B28</f>
        <v>0</v>
      </c>
      <c r="D59" s="187">
        <v>0</v>
      </c>
      <c r="E59" s="187">
        <f>'10. Future Eligible Costs'!G16</f>
        <v>2415000</v>
      </c>
      <c r="F59" s="187"/>
      <c r="G59" s="188">
        <f t="shared" ref="G59:G97" si="7">SUM(C59:F59)</f>
        <v>2415000</v>
      </c>
      <c r="H59" s="185">
        <f>$G59/((1+'ES-1. Executive Summary'!$F$12)^$A13)</f>
        <v>2109354.5287798061</v>
      </c>
      <c r="I59" s="186">
        <f>$G59/((1+'ES-1. Executive Summary'!$F$13)^$A13)</f>
        <v>2276369.1205580169</v>
      </c>
    </row>
    <row r="60" spans="1:15">
      <c r="A60" s="112">
        <f t="shared" ref="A60:A97" si="8">A59+1</f>
        <v>3</v>
      </c>
      <c r="B60" s="112">
        <f t="shared" si="6"/>
        <v>2025</v>
      </c>
      <c r="C60" s="334">
        <f>'11. Work Zone Impact Costs'!B29</f>
        <v>0</v>
      </c>
      <c r="D60" s="187">
        <v>0</v>
      </c>
      <c r="E60" s="187">
        <f>'10. Future Eligible Costs'!G17</f>
        <v>2875000</v>
      </c>
      <c r="F60" s="187"/>
      <c r="G60" s="188">
        <f t="shared" si="7"/>
        <v>2875000</v>
      </c>
      <c r="H60" s="185">
        <f>$G60/((1+'ES-1. Executive Summary'!$F$12)^$A14)</f>
        <v>2346856.3960611993</v>
      </c>
      <c r="I60" s="186">
        <f>$G60/((1+'ES-1. Executive Summary'!$F$13)^$A14)</f>
        <v>2631032.2706403336</v>
      </c>
    </row>
    <row r="61" spans="1:15">
      <c r="A61" s="112">
        <f t="shared" si="8"/>
        <v>4</v>
      </c>
      <c r="B61" s="112">
        <f t="shared" si="6"/>
        <v>2026</v>
      </c>
      <c r="C61" s="334">
        <f>'11. Work Zone Impact Costs'!B30</f>
        <v>0</v>
      </c>
      <c r="D61" s="187">
        <v>0</v>
      </c>
      <c r="E61" s="187">
        <f>'10. Future Eligible Costs'!G18</f>
        <v>30900000</v>
      </c>
      <c r="F61" s="187"/>
      <c r="G61" s="188">
        <f t="shared" si="7"/>
        <v>30900000</v>
      </c>
      <c r="H61" s="185">
        <f>$G61/((1+'ES-1. Executive Summary'!$F$12)^$A15)</f>
        <v>23573462.052268531</v>
      </c>
      <c r="I61" s="186">
        <f>$G61/((1+'ES-1. Executive Summary'!$F$13)^$A15)</f>
        <v>27454249.780594788</v>
      </c>
    </row>
    <row r="62" spans="1:15">
      <c r="A62" s="113">
        <f t="shared" si="8"/>
        <v>5</v>
      </c>
      <c r="B62" s="113">
        <f t="shared" si="6"/>
        <v>2027</v>
      </c>
      <c r="C62" s="335"/>
      <c r="D62" s="190">
        <f>'11. Work Zone Impact Costs'!B31</f>
        <v>422256.69197354687</v>
      </c>
      <c r="E62" s="190">
        <f>'10. Future Eligible Costs'!G19</f>
        <v>37100000</v>
      </c>
      <c r="F62" s="190"/>
      <c r="G62" s="195">
        <f t="shared" si="7"/>
        <v>37522256.691973545</v>
      </c>
      <c r="H62" s="193">
        <f>$G62/((1+'ES-1. Executive Summary'!$F$12)^$A16)</f>
        <v>26752850.444415726</v>
      </c>
      <c r="I62" s="194">
        <f>$G62/((1+'ES-1. Executive Summary'!$F$13)^$A16)</f>
        <v>32367028.232413866</v>
      </c>
    </row>
    <row r="63" spans="1:15">
      <c r="A63" s="113">
        <f t="shared" si="8"/>
        <v>6</v>
      </c>
      <c r="B63" s="113">
        <f t="shared" si="6"/>
        <v>2028</v>
      </c>
      <c r="C63" s="335"/>
      <c r="D63" s="190">
        <f>'11. Work Zone Impact Costs'!B32</f>
        <v>422256.69197354687</v>
      </c>
      <c r="E63" s="190">
        <f>'10. Future Eligible Costs'!G20</f>
        <v>24400000</v>
      </c>
      <c r="F63" s="190">
        <v>0</v>
      </c>
      <c r="G63" s="195">
        <f t="shared" si="7"/>
        <v>24822256.691973548</v>
      </c>
      <c r="H63" s="193">
        <f>$G63/((1+'ES-1. Executive Summary'!$F$12)^$A17)</f>
        <v>16540117.724273965</v>
      </c>
      <c r="I63" s="194">
        <f>$G63/((1+'ES-1. Executive Summary'!$F$13)^$A17)</f>
        <v>20788249.194888335</v>
      </c>
    </row>
    <row r="64" spans="1:15">
      <c r="A64" s="112">
        <f t="shared" si="8"/>
        <v>7</v>
      </c>
      <c r="B64" s="112">
        <f t="shared" si="6"/>
        <v>2029</v>
      </c>
      <c r="C64" s="187"/>
      <c r="D64" s="187"/>
      <c r="E64" s="187">
        <f>'10. Future Eligible Costs'!G21</f>
        <v>1700000</v>
      </c>
      <c r="F64" s="187">
        <v>0</v>
      </c>
      <c r="G64" s="188">
        <f t="shared" si="7"/>
        <v>1700000</v>
      </c>
      <c r="H64" s="185">
        <f>$G64/((1+'ES-1. Executive Summary'!$F$12)^$A18)</f>
        <v>1058674.5612038048</v>
      </c>
      <c r="I64" s="186">
        <f>$G64/((1+'ES-1. Executive Summary'!$F$13)^$A18)</f>
        <v>1382255.5692837015</v>
      </c>
    </row>
    <row r="65" spans="1:9">
      <c r="A65" s="112">
        <f t="shared" si="8"/>
        <v>8</v>
      </c>
      <c r="B65" s="112">
        <f t="shared" si="6"/>
        <v>2030</v>
      </c>
      <c r="C65" s="187"/>
      <c r="D65" s="187"/>
      <c r="E65" s="187">
        <v>0</v>
      </c>
      <c r="F65" s="187">
        <f>Table7382[[#Totals],[Cost Over 30 Years]]/25</f>
        <v>413064</v>
      </c>
      <c r="G65" s="188">
        <f t="shared" si="7"/>
        <v>413064</v>
      </c>
      <c r="H65" s="185">
        <f>$G65/((1+'ES-1. Executive Summary'!$F$12)^$A19)</f>
        <v>240407.00876805303</v>
      </c>
      <c r="I65" s="186">
        <f>$G65/((1+'ES-1. Executive Summary'!$F$13)^$A19)</f>
        <v>326076.53596265154</v>
      </c>
    </row>
    <row r="66" spans="1:9">
      <c r="A66" s="112">
        <f t="shared" si="8"/>
        <v>9</v>
      </c>
      <c r="B66" s="112">
        <f t="shared" si="6"/>
        <v>2031</v>
      </c>
      <c r="C66" s="187"/>
      <c r="D66" s="187"/>
      <c r="E66" s="187">
        <v>0</v>
      </c>
      <c r="F66" s="187">
        <f>Table7382[[#Totals],[Cost Over 30 Years]]/25</f>
        <v>413064</v>
      </c>
      <c r="G66" s="188">
        <f t="shared" si="7"/>
        <v>413064</v>
      </c>
      <c r="H66" s="185">
        <f>$G66/((1+'ES-1. Executive Summary'!$F$12)^$A20)</f>
        <v>224679.4474467785</v>
      </c>
      <c r="I66" s="186">
        <f>$G66/((1+'ES-1. Executive Summary'!$F$13)^$A20)</f>
        <v>316579.16112878791</v>
      </c>
    </row>
    <row r="67" spans="1:9">
      <c r="A67" s="112">
        <f t="shared" si="8"/>
        <v>10</v>
      </c>
      <c r="B67" s="112">
        <f t="shared" si="6"/>
        <v>2032</v>
      </c>
      <c r="C67" s="187"/>
      <c r="D67" s="187"/>
      <c r="E67" s="187">
        <v>0</v>
      </c>
      <c r="F67" s="187">
        <f>Table7382[[#Totals],[Cost Over 30 Years]]/25</f>
        <v>413064</v>
      </c>
      <c r="G67" s="188">
        <f t="shared" si="7"/>
        <v>413064</v>
      </c>
      <c r="H67" s="185">
        <f>$G67/((1+'ES-1. Executive Summary'!$F$12)^$A21)</f>
        <v>209980.79200633508</v>
      </c>
      <c r="I67" s="186">
        <f>$G67/((1+'ES-1. Executive Summary'!$F$13)^$A21)</f>
        <v>307358.40886290092</v>
      </c>
    </row>
    <row r="68" spans="1:9">
      <c r="A68" s="112">
        <f t="shared" si="8"/>
        <v>11</v>
      </c>
      <c r="B68" s="112">
        <f t="shared" si="6"/>
        <v>2033</v>
      </c>
      <c r="C68" s="187"/>
      <c r="D68" s="187"/>
      <c r="E68" s="187">
        <v>0</v>
      </c>
      <c r="F68" s="187">
        <f>Table7382[[#Totals],[Cost Over 30 Years]]/25</f>
        <v>413064</v>
      </c>
      <c r="G68" s="188">
        <f t="shared" si="7"/>
        <v>413064</v>
      </c>
      <c r="H68" s="185">
        <f>$G68/((1+'ES-1. Executive Summary'!$F$12)^$A22)</f>
        <v>196243.73084704208</v>
      </c>
      <c r="I68" s="186">
        <f>$G68/((1+'ES-1. Executive Summary'!$F$13)^$A22)</f>
        <v>298406.22219699115</v>
      </c>
    </row>
    <row r="69" spans="1:9">
      <c r="A69" s="112">
        <f t="shared" si="8"/>
        <v>12</v>
      </c>
      <c r="B69" s="112">
        <f t="shared" si="6"/>
        <v>2034</v>
      </c>
      <c r="C69" s="187"/>
      <c r="D69" s="187"/>
      <c r="E69" s="187">
        <v>0</v>
      </c>
      <c r="F69" s="187">
        <f>Table7382[[#Totals],[Cost Over 30 Years]]/25</f>
        <v>413064</v>
      </c>
      <c r="G69" s="188">
        <f t="shared" si="7"/>
        <v>413064</v>
      </c>
      <c r="H69" s="185">
        <f>$G69/((1+'ES-1. Executive Summary'!$F$12)^$A23)</f>
        <v>183405.35593181508</v>
      </c>
      <c r="I69" s="186">
        <f>$G69/((1+'ES-1. Executive Summary'!$F$13)^$A23)</f>
        <v>289714.77883203031</v>
      </c>
    </row>
    <row r="70" spans="1:9">
      <c r="A70" s="112">
        <f t="shared" si="8"/>
        <v>13</v>
      </c>
      <c r="B70" s="112">
        <f t="shared" si="6"/>
        <v>2035</v>
      </c>
      <c r="C70" s="187"/>
      <c r="D70" s="187"/>
      <c r="E70" s="187">
        <v>0</v>
      </c>
      <c r="F70" s="187">
        <f>Table7382[[#Totals],[Cost Over 30 Years]]/25</f>
        <v>413064</v>
      </c>
      <c r="G70" s="188">
        <f t="shared" si="7"/>
        <v>413064</v>
      </c>
      <c r="H70" s="185">
        <f>$G70/((1+'ES-1. Executive Summary'!$F$12)^$A24)</f>
        <v>171406.87470263091</v>
      </c>
      <c r="I70" s="186">
        <f>$G70/((1+'ES-1. Executive Summary'!$F$13)^$A24)</f>
        <v>281276.48430294206</v>
      </c>
    </row>
    <row r="71" spans="1:9">
      <c r="A71" s="112">
        <f t="shared" si="8"/>
        <v>14</v>
      </c>
      <c r="B71" s="112">
        <f t="shared" si="6"/>
        <v>2036</v>
      </c>
      <c r="C71" s="187"/>
      <c r="D71" s="187"/>
      <c r="E71" s="187">
        <v>0</v>
      </c>
      <c r="F71" s="187">
        <f>Table7382[[#Totals],[Cost Over 30 Years]]/25</f>
        <v>413064</v>
      </c>
      <c r="G71" s="188">
        <f t="shared" si="7"/>
        <v>413064</v>
      </c>
      <c r="H71" s="185">
        <f>$G71/((1+'ES-1. Executive Summary'!$F$12)^$A25)</f>
        <v>160193.34084358028</v>
      </c>
      <c r="I71" s="186">
        <f>$G71/((1+'ES-1. Executive Summary'!$F$13)^$A25)</f>
        <v>273083.96534266212</v>
      </c>
    </row>
    <row r="72" spans="1:9">
      <c r="A72" s="112">
        <f t="shared" si="8"/>
        <v>15</v>
      </c>
      <c r="B72" s="112">
        <f t="shared" si="6"/>
        <v>2037</v>
      </c>
      <c r="C72" s="187"/>
      <c r="D72" s="187"/>
      <c r="E72" s="187">
        <v>0</v>
      </c>
      <c r="F72" s="187">
        <f>Table7382[[#Totals],[Cost Over 30 Years]]/25</f>
        <v>413064</v>
      </c>
      <c r="G72" s="188">
        <f t="shared" si="7"/>
        <v>413064</v>
      </c>
      <c r="H72" s="185">
        <f>$G72/((1+'ES-1. Executive Summary'!$F$12)^$A26)</f>
        <v>149713.40265755166</v>
      </c>
      <c r="I72" s="186">
        <f>$G72/((1+'ES-1. Executive Summary'!$F$13)^$A26)</f>
        <v>265130.06343947782</v>
      </c>
    </row>
    <row r="73" spans="1:9">
      <c r="A73" s="112">
        <f t="shared" si="8"/>
        <v>16</v>
      </c>
      <c r="B73" s="112">
        <f t="shared" si="6"/>
        <v>2038</v>
      </c>
      <c r="C73" s="187"/>
      <c r="D73" s="187"/>
      <c r="E73" s="187">
        <v>0</v>
      </c>
      <c r="F73" s="187">
        <f>Table7382[[#Totals],[Cost Over 30 Years]]/25</f>
        <v>413064</v>
      </c>
      <c r="G73" s="188">
        <f t="shared" si="7"/>
        <v>413064</v>
      </c>
      <c r="H73" s="185">
        <f>$G73/((1+'ES-1. Executive Summary'!$F$12)^$A27)</f>
        <v>139919.0679042539</v>
      </c>
      <c r="I73" s="186">
        <f>$G73/((1+'ES-1. Executive Summary'!$F$13)^$A27)</f>
        <v>257407.82858201733</v>
      </c>
    </row>
    <row r="74" spans="1:9">
      <c r="A74" s="112">
        <f t="shared" si="8"/>
        <v>17</v>
      </c>
      <c r="B74" s="112">
        <f t="shared" si="6"/>
        <v>2039</v>
      </c>
      <c r="C74" s="187"/>
      <c r="D74" s="187"/>
      <c r="E74" s="187">
        <v>0</v>
      </c>
      <c r="F74" s="187">
        <f>Table7382[[#Totals],[Cost Over 30 Years]]/25</f>
        <v>413064</v>
      </c>
      <c r="G74" s="188">
        <f t="shared" si="7"/>
        <v>413064</v>
      </c>
      <c r="H74" s="185">
        <f>$G74/((1+'ES-1. Executive Summary'!$F$12)^$A28)</f>
        <v>130765.48402266719</v>
      </c>
      <c r="I74" s="186">
        <f>$G74/((1+'ES-1. Executive Summary'!$F$13)^$A28)</f>
        <v>249910.51318642459</v>
      </c>
    </row>
    <row r="75" spans="1:9">
      <c r="A75" s="112">
        <f t="shared" si="8"/>
        <v>18</v>
      </c>
      <c r="B75" s="112">
        <f t="shared" si="6"/>
        <v>2040</v>
      </c>
      <c r="C75" s="187"/>
      <c r="D75" s="187"/>
      <c r="E75" s="187">
        <v>0</v>
      </c>
      <c r="F75" s="187">
        <f>Table7382[[#Totals],[Cost Over 30 Years]]/25</f>
        <v>413064</v>
      </c>
      <c r="G75" s="188">
        <f t="shared" si="7"/>
        <v>413064</v>
      </c>
      <c r="H75" s="185">
        <f>$G75/((1+'ES-1. Executive Summary'!$F$12)^$A29)</f>
        <v>122210.73273146467</v>
      </c>
      <c r="I75" s="186">
        <f>$G75/((1+'ES-1. Executive Summary'!$F$13)^$A29)</f>
        <v>242631.5662004122</v>
      </c>
    </row>
    <row r="76" spans="1:9">
      <c r="A76" s="112">
        <f t="shared" si="8"/>
        <v>19</v>
      </c>
      <c r="B76" s="112">
        <f t="shared" si="6"/>
        <v>2041</v>
      </c>
      <c r="C76" s="187"/>
      <c r="D76" s="187"/>
      <c r="E76" s="187">
        <v>0</v>
      </c>
      <c r="F76" s="187">
        <f>Table7382[[#Totals],[Cost Over 30 Years]]/25</f>
        <v>413064</v>
      </c>
      <c r="G76" s="188">
        <f t="shared" si="7"/>
        <v>413064</v>
      </c>
      <c r="H76" s="185">
        <f>$G76/((1+'ES-1. Executive Summary'!$F$12)^$A30)</f>
        <v>114215.6380667894</v>
      </c>
      <c r="I76" s="186">
        <f>$G76/((1+'ES-1. Executive Summary'!$F$13)^$A30)</f>
        <v>235564.62737904099</v>
      </c>
    </row>
    <row r="77" spans="1:9">
      <c r="A77" s="112">
        <f t="shared" si="8"/>
        <v>20</v>
      </c>
      <c r="B77" s="112">
        <f t="shared" si="6"/>
        <v>2042</v>
      </c>
      <c r="C77" s="187"/>
      <c r="D77" s="187"/>
      <c r="E77" s="187">
        <v>0</v>
      </c>
      <c r="F77" s="187">
        <f>Table7382[[#Totals],[Cost Over 30 Years]]/25</f>
        <v>413064</v>
      </c>
      <c r="G77" s="188">
        <f t="shared" si="7"/>
        <v>413064</v>
      </c>
      <c r="H77" s="185">
        <f>$G77/((1+'ES-1. Executive Summary'!$F$12)^$A31)</f>
        <v>106743.58697830787</v>
      </c>
      <c r="I77" s="186">
        <f>$G77/((1+'ES-1. Executive Summary'!$F$13)^$A31)</f>
        <v>228703.52172722426</v>
      </c>
    </row>
    <row r="78" spans="1:9">
      <c r="A78" s="112">
        <f t="shared" si="8"/>
        <v>21</v>
      </c>
      <c r="B78" s="112">
        <f t="shared" si="6"/>
        <v>2043</v>
      </c>
      <c r="C78" s="187"/>
      <c r="D78" s="187"/>
      <c r="E78" s="187">
        <v>0</v>
      </c>
      <c r="F78" s="187">
        <f>Table7382[[#Totals],[Cost Over 30 Years]]/25</f>
        <v>413064</v>
      </c>
      <c r="G78" s="188">
        <f t="shared" si="7"/>
        <v>413064</v>
      </c>
      <c r="H78" s="185">
        <f>$G78/((1+'ES-1. Executive Summary'!$F$12)^$A32)</f>
        <v>99760.361661969961</v>
      </c>
      <c r="I78" s="186">
        <f>$G78/((1+'ES-1. Executive Summary'!$F$13)^$A32)</f>
        <v>222042.25410410124</v>
      </c>
    </row>
    <row r="79" spans="1:9">
      <c r="A79" s="112">
        <f t="shared" si="8"/>
        <v>22</v>
      </c>
      <c r="B79" s="112">
        <f t="shared" si="6"/>
        <v>2044</v>
      </c>
      <c r="C79" s="187"/>
      <c r="D79" s="187"/>
      <c r="E79" s="187">
        <v>0</v>
      </c>
      <c r="F79" s="187">
        <f>Table7382[[#Totals],[Cost Over 30 Years]]/25</f>
        <v>413064</v>
      </c>
      <c r="G79" s="188">
        <f t="shared" si="7"/>
        <v>413064</v>
      </c>
      <c r="H79" s="185">
        <f>$G79/((1+'ES-1. Executive Summary'!$F$12)^$A33)</f>
        <v>93233.982861654164</v>
      </c>
      <c r="I79" s="186">
        <f>$G79/((1+'ES-1. Executive Summary'!$F$13)^$A33)</f>
        <v>215575.0039845643</v>
      </c>
    </row>
    <row r="80" spans="1:9">
      <c r="A80" s="112">
        <f t="shared" si="8"/>
        <v>23</v>
      </c>
      <c r="B80" s="112">
        <f t="shared" si="6"/>
        <v>2045</v>
      </c>
      <c r="C80" s="187"/>
      <c r="D80" s="187"/>
      <c r="E80" s="187">
        <v>0</v>
      </c>
      <c r="F80" s="187">
        <f>Table7382[[#Totals],[Cost Over 30 Years]]/25</f>
        <v>413064</v>
      </c>
      <c r="G80" s="188">
        <f t="shared" si="7"/>
        <v>413064</v>
      </c>
      <c r="H80" s="185">
        <f>$G80/((1+'ES-1. Executive Summary'!$F$12)^$A34)</f>
        <v>87134.563422106701</v>
      </c>
      <c r="I80" s="186">
        <f>$G80/((1+'ES-1. Executive Summary'!$F$13)^$A34)</f>
        <v>209296.1203733634</v>
      </c>
    </row>
    <row r="81" spans="1:9">
      <c r="A81" s="112">
        <f t="shared" si="8"/>
        <v>24</v>
      </c>
      <c r="B81" s="112">
        <f t="shared" si="6"/>
        <v>2046</v>
      </c>
      <c r="C81" s="187"/>
      <c r="D81" s="187"/>
      <c r="E81" s="187">
        <v>0</v>
      </c>
      <c r="F81" s="187">
        <f>Table7382[[#Totals],[Cost Over 30 Years]]/25</f>
        <v>413064</v>
      </c>
      <c r="G81" s="188">
        <f t="shared" si="7"/>
        <v>413064</v>
      </c>
      <c r="H81" s="185">
        <f>$G81/((1+'ES-1. Executive Summary'!$F$12)^$A35)</f>
        <v>81434.171422529616</v>
      </c>
      <c r="I81" s="186">
        <f>$G81/((1+'ES-1. Executive Summary'!$F$13)^$A35)</f>
        <v>203200.11686734314</v>
      </c>
    </row>
    <row r="82" spans="1:9">
      <c r="A82" s="112">
        <f t="shared" si="8"/>
        <v>25</v>
      </c>
      <c r="B82" s="112">
        <f t="shared" si="6"/>
        <v>2047</v>
      </c>
      <c r="C82" s="187"/>
      <c r="D82" s="187"/>
      <c r="E82" s="187">
        <v>0</v>
      </c>
      <c r="F82" s="187">
        <f>Table7382[[#Totals],[Cost Over 30 Years]]/25</f>
        <v>413064</v>
      </c>
      <c r="G82" s="188">
        <f t="shared" si="7"/>
        <v>413064</v>
      </c>
      <c r="H82" s="185">
        <f>$G82/((1+'ES-1. Executive Summary'!$F$12)^$A36)</f>
        <v>76106.702264046369</v>
      </c>
      <c r="I82" s="186">
        <f>$G82/((1+'ES-1. Executive Summary'!$F$13)^$A36)</f>
        <v>197281.66686149818</v>
      </c>
    </row>
    <row r="83" spans="1:9">
      <c r="A83" s="112">
        <f t="shared" si="8"/>
        <v>26</v>
      </c>
      <c r="B83" s="112">
        <f t="shared" si="6"/>
        <v>2048</v>
      </c>
      <c r="C83" s="187"/>
      <c r="D83" s="187"/>
      <c r="E83" s="187">
        <v>0</v>
      </c>
      <c r="F83" s="187">
        <f>Table7382[[#Totals],[Cost Over 30 Years]]/25</f>
        <v>413064</v>
      </c>
      <c r="G83" s="188">
        <f t="shared" si="7"/>
        <v>413064</v>
      </c>
      <c r="H83" s="185">
        <f>$G83/((1+'ES-1. Executive Summary'!$F$12)^$A37)</f>
        <v>71127.759125276993</v>
      </c>
      <c r="I83" s="186">
        <f>$G83/((1+'ES-1. Executive Summary'!$F$13)^$A37)</f>
        <v>191535.59889465841</v>
      </c>
    </row>
    <row r="84" spans="1:9">
      <c r="A84" s="112">
        <f t="shared" si="8"/>
        <v>27</v>
      </c>
      <c r="B84" s="112">
        <f t="shared" si="6"/>
        <v>2049</v>
      </c>
      <c r="C84" s="187"/>
      <c r="D84" s="187"/>
      <c r="E84" s="187">
        <v>0</v>
      </c>
      <c r="F84" s="187">
        <f>Table7382[[#Totals],[Cost Over 30 Years]]/25</f>
        <v>413064</v>
      </c>
      <c r="G84" s="188">
        <f t="shared" si="7"/>
        <v>413064</v>
      </c>
      <c r="H84" s="185">
        <f>$G84/((1+'ES-1. Executive Summary'!$F$12)^$A38)</f>
        <v>66474.54123857661</v>
      </c>
      <c r="I84" s="186">
        <f>$G84/((1+'ES-1. Executive Summary'!$F$13)^$A38)</f>
        <v>185956.89213073635</v>
      </c>
    </row>
    <row r="85" spans="1:9">
      <c r="A85" s="112">
        <f t="shared" si="8"/>
        <v>28</v>
      </c>
      <c r="B85" s="112">
        <f t="shared" si="6"/>
        <v>2050</v>
      </c>
      <c r="C85" s="187"/>
      <c r="D85" s="187"/>
      <c r="E85" s="187">
        <v>0</v>
      </c>
      <c r="F85" s="187">
        <f>Table7382[[#Totals],[Cost Over 30 Years]]/25</f>
        <v>413064</v>
      </c>
      <c r="G85" s="188">
        <f t="shared" si="7"/>
        <v>413064</v>
      </c>
      <c r="H85" s="185">
        <f>$G85/((1+'ES-1. Executive Summary'!$F$12)^$A39)</f>
        <v>62125.739475305258</v>
      </c>
      <c r="I85" s="186">
        <f>$G85/((1+'ES-1. Executive Summary'!$F$13)^$A39)</f>
        <v>180540.67197158869</v>
      </c>
    </row>
    <row r="86" spans="1:9">
      <c r="A86" s="112">
        <f t="shared" si="8"/>
        <v>29</v>
      </c>
      <c r="B86" s="112">
        <f t="shared" si="6"/>
        <v>2051</v>
      </c>
      <c r="C86" s="187"/>
      <c r="D86" s="187"/>
      <c r="E86" s="187">
        <v>0</v>
      </c>
      <c r="F86" s="187">
        <f>Table7382[[#Totals],[Cost Over 30 Years]]/25</f>
        <v>413064</v>
      </c>
      <c r="G86" s="188">
        <f t="shared" si="7"/>
        <v>413064</v>
      </c>
      <c r="H86" s="185">
        <f>$G86/((1+'ES-1. Executive Summary'!$F$12)^$A40)</f>
        <v>58061.438761967525</v>
      </c>
      <c r="I86" s="186">
        <f>$G86/((1+'ES-1. Executive Summary'!$F$13)^$A40)</f>
        <v>175282.20579765894</v>
      </c>
    </row>
    <row r="87" spans="1:9">
      <c r="A87" s="112">
        <f t="shared" si="8"/>
        <v>30</v>
      </c>
      <c r="B87" s="112">
        <f t="shared" si="6"/>
        <v>2052</v>
      </c>
      <c r="C87" s="187"/>
      <c r="D87" s="187"/>
      <c r="E87" s="187">
        <v>0</v>
      </c>
      <c r="F87" s="187">
        <f>Table7382[[#Totals],[Cost Over 30 Years]]/25</f>
        <v>413064</v>
      </c>
      <c r="G87" s="188">
        <f t="shared" si="7"/>
        <v>413064</v>
      </c>
      <c r="H87" s="185">
        <f>$G87/((1+'ES-1. Executive Summary'!$F$12)^$A41)</f>
        <v>54263.026880343481</v>
      </c>
      <c r="I87" s="186">
        <f>$G87/((1+'ES-1. Executive Summary'!$F$13)^$A41)</f>
        <v>170176.89883267856</v>
      </c>
    </row>
    <row r="88" spans="1:9">
      <c r="A88" s="112">
        <f t="shared" si="8"/>
        <v>31</v>
      </c>
      <c r="B88" s="112">
        <f t="shared" si="6"/>
        <v>2053</v>
      </c>
      <c r="C88" s="187"/>
      <c r="D88" s="187"/>
      <c r="E88" s="187">
        <v>0</v>
      </c>
      <c r="F88" s="187">
        <f>Table7382[[#Totals],[Cost Over 30 Years]]/25</f>
        <v>413064</v>
      </c>
      <c r="G88" s="188">
        <f t="shared" si="7"/>
        <v>413064</v>
      </c>
      <c r="H88" s="185">
        <f>$G88/((1+'ES-1. Executive Summary'!$F$12)^$A42)</f>
        <v>50713.109233965864</v>
      </c>
      <c r="I88" s="186">
        <f>$G88/((1+'ES-1. Executive Summary'!$F$13)^$A42)</f>
        <v>165220.29012881411</v>
      </c>
    </row>
    <row r="89" spans="1:9">
      <c r="A89" s="112">
        <f t="shared" si="8"/>
        <v>32</v>
      </c>
      <c r="B89" s="112">
        <f t="shared" si="6"/>
        <v>2054</v>
      </c>
      <c r="C89" s="187"/>
      <c r="D89" s="187"/>
      <c r="E89" s="187">
        <v>0</v>
      </c>
      <c r="F89" s="187">
        <f>Table7382[[#Totals],[Cost Over 30 Years]]/25</f>
        <v>413064</v>
      </c>
      <c r="G89" s="188">
        <f t="shared" si="7"/>
        <v>413064</v>
      </c>
      <c r="H89" s="185">
        <f>$G89/((1+'ES-1. Executive Summary'!$F$12)^$A43)</f>
        <v>47395.429190622308</v>
      </c>
      <c r="I89" s="186">
        <f>$G89/((1+'ES-1. Executive Summary'!$F$13)^$A43)</f>
        <v>160408.04866875161</v>
      </c>
    </row>
    <row r="90" spans="1:9">
      <c r="A90" s="112">
        <f t="shared" si="8"/>
        <v>33</v>
      </c>
      <c r="B90" s="112">
        <f t="shared" si="6"/>
        <v>2055</v>
      </c>
      <c r="C90" s="187"/>
      <c r="D90" s="187"/>
      <c r="E90" s="187">
        <v>0</v>
      </c>
      <c r="F90" s="187">
        <f>Table7382[[#Totals],[Cost Over 30 Years]]/25</f>
        <v>413064</v>
      </c>
      <c r="G90" s="188">
        <f t="shared" ref="G90:G93" si="9">SUM(C90:F90)</f>
        <v>413064</v>
      </c>
      <c r="H90" s="185">
        <f>$G90/((1+'ES-1. Executive Summary'!$F$12)^$A44)</f>
        <v>44294.793636095616</v>
      </c>
      <c r="I90" s="186">
        <f>$G90/((1+'ES-1. Executive Summary'!$F$13)^$A44)</f>
        <v>155735.96958131224</v>
      </c>
    </row>
    <row r="91" spans="1:9">
      <c r="A91" s="112">
        <f t="shared" si="8"/>
        <v>34</v>
      </c>
      <c r="B91" s="112">
        <f t="shared" si="6"/>
        <v>2056</v>
      </c>
      <c r="C91" s="187"/>
      <c r="D91" s="187"/>
      <c r="E91" s="187">
        <v>0</v>
      </c>
      <c r="F91" s="187">
        <f>Table7382[[#Totals],[Cost Over 30 Years]]/25</f>
        <v>413064</v>
      </c>
      <c r="G91" s="188">
        <f t="shared" si="9"/>
        <v>413064</v>
      </c>
      <c r="H91" s="185">
        <f>$G91/((1+'ES-1. Executive Summary'!$F$12)^$A45)</f>
        <v>41397.0033982202</v>
      </c>
      <c r="I91" s="186">
        <f>$G91/((1+'ES-1. Executive Summary'!$F$13)^$A45)</f>
        <v>151199.97046729346</v>
      </c>
    </row>
    <row r="92" spans="1:9">
      <c r="A92" s="112">
        <f t="shared" si="8"/>
        <v>35</v>
      </c>
      <c r="B92" s="112">
        <f t="shared" si="6"/>
        <v>2057</v>
      </c>
      <c r="C92" s="187"/>
      <c r="D92" s="187"/>
      <c r="E92" s="187">
        <v>0</v>
      </c>
      <c r="F92" s="187">
        <f>Table7382[[#Totals],[Cost Over 30 Years]]/25</f>
        <v>413064</v>
      </c>
      <c r="G92" s="188">
        <f t="shared" si="9"/>
        <v>413064</v>
      </c>
      <c r="H92" s="185">
        <f>$G92/((1+'ES-1. Executive Summary'!$F$12)^$A46)</f>
        <v>38688.788222635703</v>
      </c>
      <c r="I92" s="186">
        <f>$G92/((1+'ES-1. Executive Summary'!$F$13)^$A46)</f>
        <v>146796.08783232371</v>
      </c>
    </row>
    <row r="93" spans="1:9">
      <c r="A93" s="112">
        <f t="shared" si="8"/>
        <v>36</v>
      </c>
      <c r="B93" s="112">
        <f t="shared" si="6"/>
        <v>2058</v>
      </c>
      <c r="C93" s="187"/>
      <c r="D93" s="187"/>
      <c r="E93" s="187">
        <v>0</v>
      </c>
      <c r="F93" s="187">
        <f>Table7382[[#Totals],[Cost Over 30 Years]]/25</f>
        <v>413064</v>
      </c>
      <c r="G93" s="188">
        <f t="shared" si="9"/>
        <v>413064</v>
      </c>
      <c r="H93" s="185">
        <f>$G93/((1+'ES-1. Executive Summary'!$F$12)^$A47)</f>
        <v>36157.746002463275</v>
      </c>
      <c r="I93" s="186">
        <f>$G93/((1+'ES-1. Executive Summary'!$F$13)^$A47)</f>
        <v>142520.47362361525</v>
      </c>
    </row>
    <row r="94" spans="1:9" ht="13.5" hidden="1" thickTop="1">
      <c r="A94" s="112">
        <f t="shared" si="8"/>
        <v>37</v>
      </c>
      <c r="B94" s="112" t="str">
        <f t="shared" si="6"/>
        <v/>
      </c>
      <c r="C94" s="187"/>
      <c r="D94" s="187">
        <v>0</v>
      </c>
      <c r="E94" s="187">
        <v>0</v>
      </c>
      <c r="F94" s="187"/>
      <c r="G94" s="188">
        <f t="shared" si="7"/>
        <v>0</v>
      </c>
      <c r="H94" s="185">
        <v>0</v>
      </c>
      <c r="I94" s="186">
        <v>0</v>
      </c>
    </row>
    <row r="95" spans="1:9" hidden="1">
      <c r="A95" s="112">
        <f t="shared" si="8"/>
        <v>38</v>
      </c>
      <c r="B95" s="112" t="str">
        <f t="shared" si="6"/>
        <v/>
      </c>
      <c r="C95" s="187"/>
      <c r="D95" s="187">
        <v>0</v>
      </c>
      <c r="E95" s="187">
        <v>0</v>
      </c>
      <c r="F95" s="187"/>
      <c r="G95" s="188">
        <f t="shared" si="7"/>
        <v>0</v>
      </c>
      <c r="H95" s="185">
        <v>0</v>
      </c>
      <c r="I95" s="186">
        <v>0</v>
      </c>
    </row>
    <row r="96" spans="1:9" hidden="1">
      <c r="A96" s="112">
        <f t="shared" si="8"/>
        <v>39</v>
      </c>
      <c r="B96" s="112" t="str">
        <f t="shared" si="6"/>
        <v/>
      </c>
      <c r="C96" s="187"/>
      <c r="D96" s="187">
        <v>0</v>
      </c>
      <c r="E96" s="187">
        <v>0</v>
      </c>
      <c r="F96" s="187"/>
      <c r="G96" s="188">
        <f t="shared" si="7"/>
        <v>0</v>
      </c>
      <c r="H96" s="185">
        <v>0</v>
      </c>
      <c r="I96" s="186">
        <v>0</v>
      </c>
    </row>
    <row r="97" spans="1:9" hidden="1">
      <c r="A97" s="112">
        <f t="shared" si="8"/>
        <v>40</v>
      </c>
      <c r="B97" s="112" t="str">
        <f t="shared" si="6"/>
        <v/>
      </c>
      <c r="C97" s="187"/>
      <c r="D97" s="187">
        <v>0</v>
      </c>
      <c r="E97" s="187">
        <v>0</v>
      </c>
      <c r="F97" s="187"/>
      <c r="G97" s="188">
        <f t="shared" si="7"/>
        <v>0</v>
      </c>
      <c r="H97" s="185">
        <v>0</v>
      </c>
      <c r="I97" s="186">
        <v>0</v>
      </c>
    </row>
    <row r="98" spans="1:9" ht="33" customHeight="1">
      <c r="A98" s="402" t="s">
        <v>52</v>
      </c>
      <c r="B98" s="402"/>
      <c r="C98" s="200">
        <f t="shared" ref="C98:I98" si="10">SUM(C58:C93)</f>
        <v>0</v>
      </c>
      <c r="D98" s="196">
        <f t="shared" si="10"/>
        <v>844513.38394709374</v>
      </c>
      <c r="E98" s="196">
        <f t="shared" si="10"/>
        <v>100000000</v>
      </c>
      <c r="F98" s="196">
        <f t="shared" si="10"/>
        <v>11978856</v>
      </c>
      <c r="G98" s="201">
        <f t="shared" si="10"/>
        <v>112823369.38394709</v>
      </c>
      <c r="H98" s="198">
        <f t="shared" si="10"/>
        <v>76109662.78465198</v>
      </c>
      <c r="I98" s="199">
        <f t="shared" si="10"/>
        <v>93936029.125351653</v>
      </c>
    </row>
  </sheetData>
  <mergeCells count="5">
    <mergeCell ref="A52:B52"/>
    <mergeCell ref="C56:I56"/>
    <mergeCell ref="A98:B98"/>
    <mergeCell ref="A1:O1"/>
    <mergeCell ref="A7:O7"/>
  </mergeCells>
  <pageMargins left="0.7" right="0.7" top="0.75" bottom="0.75" header="0.3" footer="0.3"/>
  <pageSetup scale="42" fitToHeight="2" orientation="landscape" r:id="rId1"/>
  <rowBreaks count="1" manualBreakCount="1">
    <brk id="54" max="14"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5FF96-18F5-4EB9-87D3-B1734AC84CD3}">
  <sheetPr>
    <tabColor theme="0" tint="-0.249977111117893"/>
    <pageSetUpPr fitToPage="1"/>
  </sheetPr>
  <dimension ref="A1:I29"/>
  <sheetViews>
    <sheetView showGridLines="0" view="pageBreakPreview" zoomScaleNormal="100" zoomScaleSheetLayoutView="100" workbookViewId="0">
      <selection activeCell="A6" sqref="A6:I11"/>
    </sheetView>
  </sheetViews>
  <sheetFormatPr defaultColWidth="9.140625" defaultRowHeight="12.75"/>
  <cols>
    <col min="1" max="1" width="21.7109375" style="302" customWidth="1"/>
    <col min="2" max="6" width="20.7109375" style="302" customWidth="1"/>
    <col min="7" max="8" width="20.7109375" style="302" hidden="1" customWidth="1"/>
    <col min="9" max="9" width="15.7109375" style="302" customWidth="1"/>
    <col min="10" max="16384" width="9.140625" style="302"/>
  </cols>
  <sheetData>
    <row r="1" spans="1:9" ht="15" customHeight="1">
      <c r="A1" s="445" t="s">
        <v>363</v>
      </c>
      <c r="B1" s="446"/>
      <c r="C1" s="446"/>
      <c r="D1" s="446"/>
      <c r="E1" s="446"/>
      <c r="F1" s="446"/>
      <c r="G1" s="446"/>
      <c r="H1" s="446"/>
      <c r="I1" s="446"/>
    </row>
    <row r="2" spans="1:9" ht="15" customHeight="1">
      <c r="A2" s="99" t="s">
        <v>1</v>
      </c>
      <c r="B2" s="71" t="str">
        <f>Project_Name</f>
        <v>Right-Sizing Route 37: Improving Community Connectivity</v>
      </c>
      <c r="C2" s="81"/>
      <c r="D2" s="81"/>
      <c r="E2" s="81"/>
      <c r="F2" s="81"/>
      <c r="G2" s="81"/>
      <c r="H2" s="81"/>
      <c r="I2" s="81"/>
    </row>
    <row r="3" spans="1:9" ht="15" customHeight="1">
      <c r="A3" s="99" t="s">
        <v>3</v>
      </c>
      <c r="B3" s="100">
        <f>Date</f>
        <v>44985</v>
      </c>
      <c r="C3" s="81"/>
      <c r="D3" s="81"/>
      <c r="E3" s="81"/>
      <c r="F3" s="81"/>
      <c r="G3" s="81"/>
      <c r="H3" s="81"/>
      <c r="I3" s="81"/>
    </row>
    <row r="4" spans="1:9" ht="30" customHeight="1" thickBot="1">
      <c r="A4" s="81"/>
      <c r="B4" s="81"/>
      <c r="C4" s="81"/>
      <c r="D4" s="81" t="s">
        <v>364</v>
      </c>
      <c r="E4" s="81"/>
      <c r="F4" s="81"/>
      <c r="G4" s="81"/>
      <c r="H4" s="81"/>
      <c r="I4" s="81"/>
    </row>
    <row r="5" spans="1:9" ht="30" customHeight="1" thickBot="1">
      <c r="A5" s="102" t="s">
        <v>103</v>
      </c>
      <c r="B5" s="430" t="s">
        <v>365</v>
      </c>
      <c r="C5" s="431"/>
      <c r="D5" s="431"/>
      <c r="E5" s="431"/>
      <c r="F5" s="431"/>
      <c r="G5" s="431"/>
      <c r="H5" s="431"/>
      <c r="I5" s="432"/>
    </row>
    <row r="6" spans="1:9" ht="48.75" customHeight="1" thickBot="1">
      <c r="A6" s="102" t="s">
        <v>105</v>
      </c>
      <c r="B6" s="430" t="s">
        <v>366</v>
      </c>
      <c r="C6" s="431"/>
      <c r="D6" s="431"/>
      <c r="E6" s="431"/>
      <c r="F6" s="431"/>
      <c r="G6" s="431"/>
      <c r="H6" s="431"/>
      <c r="I6" s="432"/>
    </row>
    <row r="7" spans="1:9" ht="51" customHeight="1" thickBot="1">
      <c r="A7" s="102" t="s">
        <v>107</v>
      </c>
      <c r="B7" s="430" t="s">
        <v>367</v>
      </c>
      <c r="C7" s="431"/>
      <c r="D7" s="431"/>
      <c r="E7" s="431"/>
      <c r="F7" s="431"/>
      <c r="G7" s="431"/>
      <c r="H7" s="431"/>
      <c r="I7" s="432"/>
    </row>
    <row r="8" spans="1:9" ht="30" customHeight="1" thickBot="1">
      <c r="A8" s="102" t="s">
        <v>109</v>
      </c>
      <c r="B8" s="430" t="s">
        <v>675</v>
      </c>
      <c r="C8" s="431"/>
      <c r="D8" s="431"/>
      <c r="E8" s="431"/>
      <c r="F8" s="431"/>
      <c r="G8" s="431"/>
      <c r="H8" s="431"/>
      <c r="I8" s="432"/>
    </row>
    <row r="9" spans="1:9" ht="30" customHeight="1" thickBot="1">
      <c r="A9" s="102" t="s">
        <v>111</v>
      </c>
      <c r="B9" s="430" t="s">
        <v>676</v>
      </c>
      <c r="C9" s="431"/>
      <c r="D9" s="431"/>
      <c r="E9" s="431"/>
      <c r="F9" s="431"/>
      <c r="G9" s="431"/>
      <c r="H9" s="431"/>
      <c r="I9" s="432"/>
    </row>
    <row r="11" spans="1:9">
      <c r="B11" s="305" t="s">
        <v>368</v>
      </c>
    </row>
    <row r="13" spans="1:9" s="171" customFormat="1" ht="38.25">
      <c r="B13" s="304" t="s">
        <v>369</v>
      </c>
      <c r="C13" s="171" t="s">
        <v>370</v>
      </c>
      <c r="D13" s="171" t="s">
        <v>371</v>
      </c>
      <c r="E13" s="171" t="s">
        <v>372</v>
      </c>
      <c r="F13" s="171" t="s">
        <v>373</v>
      </c>
    </row>
    <row r="14" spans="1:9" ht="25.5">
      <c r="B14" s="302" t="str">
        <f>'Appendix A. Parameter Values'!B83</f>
        <v>Expanded Sidewalk (per ft added width)</v>
      </c>
      <c r="C14" s="337">
        <v>2</v>
      </c>
      <c r="D14" s="337">
        <v>0.5</v>
      </c>
      <c r="E14" s="337">
        <f>(10/0.1)*2</f>
        <v>200</v>
      </c>
      <c r="F14" s="338">
        <f>Table65[[#This Row],[Additional Sidewalk Width (ft)]]*Table65[[#This Row],[Sidewalk Length Widened (mi)]]*Table65[[#This Row],['# Daily Users]]*'Appendix A. Parameter Values'!C83</f>
        <v>22</v>
      </c>
      <c r="H14" s="354"/>
    </row>
    <row r="15" spans="1:9">
      <c r="B15" s="302" t="s">
        <v>374</v>
      </c>
      <c r="E15" s="307">
        <f>SUBTOTAL(109,Table65['# Daily Users])*365</f>
        <v>73000</v>
      </c>
      <c r="F15" s="303">
        <f>SUBTOTAL(109,Table65[Benefit per Mile Walked per Day])*365</f>
        <v>8030</v>
      </c>
    </row>
    <row r="17" spans="2:8">
      <c r="B17" s="305" t="s">
        <v>375</v>
      </c>
    </row>
    <row r="18" spans="2:8" s="171" customFormat="1">
      <c r="B18" s="302"/>
      <c r="C18" s="302"/>
      <c r="D18" s="302"/>
      <c r="E18" s="302"/>
      <c r="F18" s="302"/>
      <c r="G18" s="302"/>
      <c r="H18" s="302"/>
    </row>
    <row r="19" spans="2:8" ht="51">
      <c r="B19" s="304" t="s">
        <v>376</v>
      </c>
      <c r="C19" s="171" t="s">
        <v>377</v>
      </c>
      <c r="D19" s="171" t="s">
        <v>378</v>
      </c>
      <c r="E19" s="171" t="s">
        <v>379</v>
      </c>
      <c r="F19" s="171"/>
      <c r="G19" s="171"/>
      <c r="H19" s="171"/>
    </row>
    <row r="20" spans="2:8" ht="38.25">
      <c r="B20" s="302" t="str">
        <f>'Appendix A. Parameter Values'!B87</f>
        <v>Marked-Crosswalks on Roadway, Volume &gt;10k/day</v>
      </c>
      <c r="C20" s="303">
        <f>'Appendix A. Parameter Values'!C87</f>
        <v>0.18</v>
      </c>
      <c r="D20" s="337"/>
      <c r="E20" s="338">
        <f>C20*D20</f>
        <v>0</v>
      </c>
    </row>
    <row r="21" spans="2:8" ht="38.25">
      <c r="B21" s="302" t="str">
        <f>'Appendix A. Parameter Values'!B88</f>
        <v>Signal and Pedestrian Crossing on Roadway, Volume &gt;13k/day</v>
      </c>
      <c r="C21" s="303">
        <f>'Appendix A. Parameter Values'!C88</f>
        <v>0.48</v>
      </c>
      <c r="D21" s="337" cm="1">
        <f t="array" ref="D21">Table65['# Daily Users]</f>
        <v>200</v>
      </c>
      <c r="E21" s="338">
        <f>C21*D21</f>
        <v>96</v>
      </c>
      <c r="H21" s="354"/>
    </row>
    <row r="22" spans="2:8">
      <c r="B22" s="302" t="s">
        <v>374</v>
      </c>
      <c r="D22" s="350">
        <f>SUBTOTAL(109,Table66['# Existing Daily Users])*365</f>
        <v>73000</v>
      </c>
      <c r="E22" s="303">
        <f>SUBTOTAL(109,Table66[Benefit per Signalized Pedestrian Crossing Use per Day])*365</f>
        <v>35040</v>
      </c>
    </row>
    <row r="23" spans="2:8">
      <c r="F23" s="302" t="s">
        <v>364</v>
      </c>
    </row>
    <row r="24" spans="2:8">
      <c r="B24" s="305" t="s">
        <v>380</v>
      </c>
    </row>
    <row r="26" spans="2:8" ht="51">
      <c r="B26" s="304" t="s">
        <v>381</v>
      </c>
      <c r="C26" s="171" t="s">
        <v>377</v>
      </c>
      <c r="D26" s="171" t="s">
        <v>382</v>
      </c>
      <c r="E26" s="171" t="s">
        <v>379</v>
      </c>
    </row>
    <row r="27" spans="2:8" ht="38.25">
      <c r="B27" s="302" t="str">
        <f>'Appendix A. Parameter Values'!B87</f>
        <v>Marked-Crosswalks on Roadway, Volume &gt;10k/day</v>
      </c>
      <c r="C27" s="303">
        <f>'Appendix A. Parameter Values'!C87</f>
        <v>0.18</v>
      </c>
      <c r="D27" s="337"/>
      <c r="E27" s="338">
        <f>C27*D27</f>
        <v>0</v>
      </c>
    </row>
    <row r="28" spans="2:8" ht="38.25">
      <c r="B28" s="302" t="str">
        <f>'Appendix A. Parameter Values'!B88</f>
        <v>Signal and Pedestrian Crossing on Roadway, Volume &gt;13k/day</v>
      </c>
      <c r="C28" s="303">
        <f>'Appendix A. Parameter Values'!C88</f>
        <v>0.48</v>
      </c>
      <c r="D28" s="337"/>
      <c r="E28" s="338">
        <f>C28*D28</f>
        <v>0</v>
      </c>
      <c r="H28" s="354"/>
    </row>
    <row r="29" spans="2:8">
      <c r="B29" s="302" t="s">
        <v>374</v>
      </c>
      <c r="D29" s="350">
        <f>SUBTOTAL(109,Table67['# Additional  Daily Users])*365</f>
        <v>0</v>
      </c>
      <c r="E29" s="303">
        <f>SUBTOTAL(109,Table67[Benefit per Signalized Pedestrian Crossing Use per Day])*365</f>
        <v>0</v>
      </c>
    </row>
  </sheetData>
  <mergeCells count="6">
    <mergeCell ref="B9:I9"/>
    <mergeCell ref="A1:I1"/>
    <mergeCell ref="B5:I5"/>
    <mergeCell ref="B6:I6"/>
    <mergeCell ref="B7:I7"/>
    <mergeCell ref="B8:I8"/>
  </mergeCells>
  <pageMargins left="0.7" right="0.7" top="0.75" bottom="0.75" header="0.3" footer="0.3"/>
  <pageSetup scale="61" orientation="portrait" r:id="rId1"/>
  <drawing r:id="rId2"/>
  <tableParts count="3">
    <tablePart r:id="rId3"/>
    <tablePart r:id="rId4"/>
    <tablePart r:id="rId5"/>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E74B5B-8D86-4252-A3E8-975ED4821B26}">
  <sheetPr>
    <tabColor theme="9"/>
    <pageSetUpPr fitToPage="1"/>
  </sheetPr>
  <dimension ref="A1:I71"/>
  <sheetViews>
    <sheetView showGridLines="0" topLeftCell="A4" workbookViewId="0">
      <selection activeCell="B6" sqref="B6:I6"/>
    </sheetView>
  </sheetViews>
  <sheetFormatPr defaultRowHeight="12.75"/>
  <cols>
    <col min="1" max="1" width="21.7109375" customWidth="1"/>
    <col min="2" max="2" width="17.42578125" style="169" customWidth="1"/>
    <col min="3" max="9" width="15.7109375" style="169" customWidth="1"/>
  </cols>
  <sheetData>
    <row r="1" spans="1:9" ht="15" customHeight="1">
      <c r="A1" s="472" t="s">
        <v>383</v>
      </c>
      <c r="B1" s="473"/>
      <c r="C1" s="473"/>
      <c r="D1" s="473"/>
      <c r="E1" s="473"/>
      <c r="F1" s="473"/>
      <c r="G1" s="473"/>
      <c r="H1" s="473"/>
      <c r="I1" s="473"/>
    </row>
    <row r="2" spans="1:9" ht="15" customHeight="1">
      <c r="A2" s="87" t="s">
        <v>1</v>
      </c>
      <c r="B2" s="71" t="str">
        <f>Project_Name</f>
        <v>Right-Sizing Route 37: Improving Community Connectivity</v>
      </c>
      <c r="C2" s="81"/>
      <c r="D2" s="81"/>
      <c r="E2" s="81"/>
      <c r="F2" s="81"/>
      <c r="G2" s="81"/>
      <c r="H2" s="81"/>
      <c r="I2" s="81"/>
    </row>
    <row r="3" spans="1:9" ht="15" customHeight="1">
      <c r="A3" s="87" t="s">
        <v>3</v>
      </c>
      <c r="B3" s="100">
        <f>Date</f>
        <v>44985</v>
      </c>
      <c r="C3" s="81"/>
      <c r="D3" s="81"/>
      <c r="E3" s="81"/>
      <c r="F3" s="81"/>
      <c r="G3" s="81"/>
      <c r="H3" s="81"/>
      <c r="I3" s="81"/>
    </row>
    <row r="4" spans="1:9" ht="30" customHeight="1">
      <c r="A4" s="87"/>
      <c r="B4" s="100"/>
      <c r="C4" s="81"/>
      <c r="D4" s="81"/>
      <c r="E4" s="81"/>
      <c r="F4" s="81"/>
      <c r="G4" s="81"/>
      <c r="H4" s="81"/>
      <c r="I4" s="81"/>
    </row>
    <row r="5" spans="1:9" ht="13.5" thickBot="1">
      <c r="A5" s="82"/>
      <c r="B5" s="81"/>
      <c r="C5" s="81"/>
      <c r="D5" s="81"/>
      <c r="E5" s="81"/>
      <c r="F5" s="81"/>
      <c r="G5" s="81"/>
      <c r="H5" s="81"/>
      <c r="I5" s="81"/>
    </row>
    <row r="6" spans="1:9" ht="30" customHeight="1" thickBot="1">
      <c r="A6" s="102" t="s">
        <v>103</v>
      </c>
      <c r="B6" s="474"/>
      <c r="C6" s="475"/>
      <c r="D6" s="475"/>
      <c r="E6" s="475"/>
      <c r="F6" s="475"/>
      <c r="G6" s="475"/>
      <c r="H6" s="475"/>
      <c r="I6" s="476"/>
    </row>
    <row r="7" spans="1:9" ht="72.75" customHeight="1" thickBot="1">
      <c r="A7" s="102" t="s">
        <v>105</v>
      </c>
      <c r="B7" s="474"/>
      <c r="C7" s="475"/>
      <c r="D7" s="475"/>
      <c r="E7" s="475"/>
      <c r="F7" s="475"/>
      <c r="G7" s="475"/>
      <c r="H7" s="475"/>
      <c r="I7" s="476"/>
    </row>
    <row r="8" spans="1:9" ht="30" customHeight="1" thickBot="1">
      <c r="A8" s="102" t="s">
        <v>107</v>
      </c>
      <c r="B8" s="474"/>
      <c r="C8" s="475"/>
      <c r="D8" s="475"/>
      <c r="E8" s="475"/>
      <c r="F8" s="475"/>
      <c r="G8" s="475"/>
      <c r="H8" s="475"/>
      <c r="I8" s="476"/>
    </row>
    <row r="9" spans="1:9" ht="30" customHeight="1" thickBot="1">
      <c r="A9" s="102" t="s">
        <v>109</v>
      </c>
      <c r="B9" s="474"/>
      <c r="C9" s="475"/>
      <c r="D9" s="475"/>
      <c r="E9" s="475"/>
      <c r="F9" s="475"/>
      <c r="G9" s="475"/>
      <c r="H9" s="475"/>
      <c r="I9" s="476"/>
    </row>
    <row r="10" spans="1:9" ht="30" customHeight="1" thickBot="1">
      <c r="A10" s="102" t="s">
        <v>111</v>
      </c>
      <c r="B10" s="474"/>
      <c r="C10" s="475"/>
      <c r="D10" s="475"/>
      <c r="E10" s="475"/>
      <c r="F10" s="475"/>
      <c r="G10" s="475"/>
      <c r="H10" s="475"/>
      <c r="I10" s="476"/>
    </row>
    <row r="13" spans="1:9">
      <c r="B13" s="226" t="s">
        <v>384</v>
      </c>
    </row>
    <row r="15" spans="1:9" s="230" customFormat="1" ht="43.5" customHeight="1">
      <c r="B15" s="304" t="s">
        <v>385</v>
      </c>
      <c r="C15" s="171" t="s">
        <v>386</v>
      </c>
      <c r="D15" s="171" t="s">
        <v>387</v>
      </c>
      <c r="E15" s="171" t="s">
        <v>388</v>
      </c>
      <c r="F15" s="171" t="s">
        <v>389</v>
      </c>
      <c r="G15" s="171" t="s">
        <v>390</v>
      </c>
      <c r="H15" s="171" t="s">
        <v>391</v>
      </c>
      <c r="I15" s="332"/>
    </row>
    <row r="16" spans="1:9" ht="38.25">
      <c r="B16" s="302" t="s">
        <v>392</v>
      </c>
      <c r="C16" s="302"/>
      <c r="D16" s="302"/>
      <c r="E16" s="302">
        <f>'9. Ped &amp; Cyclist Count Backup'!E21</f>
        <v>0</v>
      </c>
      <c r="F16" s="303"/>
      <c r="G16" s="303">
        <f>Table68[[#This Row],[Segment Length (mi)]]*Table68[[#This Row],['# of Existing Cyclists]]*Table68[[#This Row],[Value per Cycling Mile]]</f>
        <v>0</v>
      </c>
      <c r="H16" s="303">
        <f>Table68[[#This Row],[Benefits to Existing Users Daily]]*365</f>
        <v>0</v>
      </c>
    </row>
    <row r="17" spans="2:9" ht="38.25">
      <c r="B17" s="302" t="s">
        <v>393</v>
      </c>
      <c r="C17" s="302"/>
      <c r="D17" s="302"/>
      <c r="E17" s="302"/>
      <c r="F17" s="303"/>
      <c r="G17" s="303">
        <f>Table68[[#This Row],[Segment Length (mi)]]*Table68[[#This Row],['# of Existing Cyclists]]*Table68[[#This Row],[Value per Cycling Mile]]</f>
        <v>0</v>
      </c>
      <c r="H17" s="303">
        <f>Table68[[#This Row],[Benefits to Existing Users Daily]]*365</f>
        <v>0</v>
      </c>
    </row>
    <row r="18" spans="2:9" ht="25.5">
      <c r="B18" s="302" t="s">
        <v>394</v>
      </c>
      <c r="C18" s="302"/>
      <c r="D18" s="302"/>
      <c r="E18" s="302">
        <f>'9. Ped &amp; Cyclist Count Backup'!E21</f>
        <v>0</v>
      </c>
      <c r="F18" s="303"/>
      <c r="G18" s="303">
        <f>Table68[[#This Row],[Segment Length (mi)]]*Table68[[#This Row],['# of Existing Cyclists]]*Table68[[#This Row],[Value per Cycling Mile]]</f>
        <v>0</v>
      </c>
      <c r="H18" s="303">
        <f>Table68[[#This Row],[Benefits to Existing Users Daily]]*365</f>
        <v>0</v>
      </c>
    </row>
    <row r="19" spans="2:9">
      <c r="B19" s="302" t="s">
        <v>26</v>
      </c>
      <c r="C19" s="302"/>
      <c r="D19" s="302">
        <f>SUBTOTAL(109,Table68[Segment Length (mi)])</f>
        <v>0</v>
      </c>
      <c r="E19" s="302">
        <f>SUBTOTAL(109,Table68['# of Existing Cyclists])</f>
        <v>0</v>
      </c>
      <c r="F19" s="303" t="e">
        <f>SUMPRODUCT(Table68['# of Existing Cyclists],Table68[Value per Cycling Mile])/Table68[[#Totals],['# of Existing Cyclists]]</f>
        <v>#DIV/0!</v>
      </c>
      <c r="G19" s="303">
        <f>SUBTOTAL(109,Table68[Benefits to Existing Users Daily])</f>
        <v>0</v>
      </c>
      <c r="H19" s="303">
        <f>SUBTOTAL(109,Table68[[Annual Benefits ]])</f>
        <v>0</v>
      </c>
    </row>
    <row r="20" spans="2:9">
      <c r="B20" s="302"/>
      <c r="C20" s="302"/>
      <c r="D20" s="302"/>
      <c r="E20" s="302"/>
      <c r="F20" s="302"/>
      <c r="G20" s="303"/>
    </row>
    <row r="21" spans="2:9">
      <c r="B21" s="305" t="s">
        <v>395</v>
      </c>
      <c r="C21" s="302"/>
      <c r="D21" s="302"/>
      <c r="E21" s="302"/>
      <c r="F21" s="302"/>
      <c r="G21" s="302"/>
    </row>
    <row r="22" spans="2:9">
      <c r="B22" s="302"/>
      <c r="C22" s="302"/>
      <c r="D22" s="302"/>
      <c r="E22" s="302"/>
      <c r="F22" s="302"/>
      <c r="G22" s="302"/>
    </row>
    <row r="23" spans="2:9" s="230" customFormat="1" ht="38.25">
      <c r="B23" s="304" t="s">
        <v>385</v>
      </c>
      <c r="C23" s="171" t="s">
        <v>396</v>
      </c>
      <c r="D23" s="171" t="s">
        <v>387</v>
      </c>
      <c r="E23" s="171" t="s">
        <v>397</v>
      </c>
      <c r="F23" s="171" t="s">
        <v>389</v>
      </c>
      <c r="G23" s="171" t="s">
        <v>398</v>
      </c>
      <c r="H23" s="171" t="s">
        <v>399</v>
      </c>
      <c r="I23" s="171"/>
    </row>
    <row r="24" spans="2:9" ht="38.25">
      <c r="B24" s="302" t="s">
        <v>392</v>
      </c>
      <c r="C24" s="302"/>
      <c r="D24" s="302"/>
      <c r="E24" s="306">
        <f>'9. Ped &amp; Cyclist Count Backup'!E31</f>
        <v>0</v>
      </c>
      <c r="F24" s="303"/>
      <c r="G24" s="303">
        <f>Table69[[#This Row],[Segment Length (mi)]]*Table69[[#This Row],['# of Induced  Cyclists]]*Table69[[#This Row],[Value per Cycling Mile]]</f>
        <v>0</v>
      </c>
      <c r="H24" s="303">
        <f>Table69[[#This Row],[Benefits to Additional Users Daily]]*365</f>
        <v>0</v>
      </c>
      <c r="I24" s="303"/>
    </row>
    <row r="25" spans="2:9" ht="38.25">
      <c r="B25" s="302" t="s">
        <v>393</v>
      </c>
      <c r="C25" s="302"/>
      <c r="D25" s="302"/>
      <c r="E25" s="302"/>
      <c r="F25" s="303"/>
      <c r="G25" s="303">
        <f>Table69[[#This Row],[Segment Length (mi)]]*Table69[[#This Row],['# of Induced  Cyclists]]*Table69[[#This Row],[Value per Cycling Mile]]</f>
        <v>0</v>
      </c>
      <c r="H25" s="303">
        <f>Table69[[#This Row],[Benefits to Additional Users Daily]]*365</f>
        <v>0</v>
      </c>
      <c r="I25" s="303"/>
    </row>
    <row r="26" spans="2:9" ht="25.5">
      <c r="B26" s="302" t="s">
        <v>394</v>
      </c>
      <c r="C26" s="302"/>
      <c r="D26" s="302"/>
      <c r="E26" s="306">
        <f>'9. Ped &amp; Cyclist Count Backup'!E31</f>
        <v>0</v>
      </c>
      <c r="F26" s="303"/>
      <c r="G26" s="303">
        <f>Table69[[#This Row],[Segment Length (mi)]]*Table69[[#This Row],['# of Induced  Cyclists]]*Table69[[#This Row],[Value per Cycling Mile]]</f>
        <v>0</v>
      </c>
      <c r="H26" s="303">
        <f>Table69[[#This Row],[Benefits to Additional Users Daily]]*365</f>
        <v>0</v>
      </c>
      <c r="I26" s="303"/>
    </row>
    <row r="27" spans="2:9">
      <c r="B27" s="302" t="s">
        <v>26</v>
      </c>
      <c r="C27" s="302"/>
      <c r="D27" s="302">
        <f>SUBTOTAL(109,Table69[Segment Length (mi)])</f>
        <v>0</v>
      </c>
      <c r="E27" s="306">
        <f>SUBTOTAL(109,Table69['# of Induced  Cyclists])</f>
        <v>0</v>
      </c>
      <c r="F27" s="303" t="e">
        <f>SUMPRODUCT(Table69['# of Induced  Cyclists],Table69[Value per Cycling Mile])/Table69[[#Totals],['# of Induced  Cyclists]]</f>
        <v>#DIV/0!</v>
      </c>
      <c r="G27" s="303">
        <f>SUBTOTAL(109,Table69[Benefits to Additional Users Daily])</f>
        <v>0</v>
      </c>
      <c r="H27" s="303">
        <f>SUBTOTAL(109,Table69[Annual Benefits])</f>
        <v>0</v>
      </c>
    </row>
    <row r="29" spans="2:9">
      <c r="B29" s="305" t="s">
        <v>400</v>
      </c>
    </row>
    <row r="31" spans="2:9" ht="38.25">
      <c r="B31" s="169" t="s">
        <v>401</v>
      </c>
      <c r="C31" s="169" t="s">
        <v>396</v>
      </c>
      <c r="D31" s="169" t="s">
        <v>387</v>
      </c>
      <c r="E31" s="169" t="s">
        <v>397</v>
      </c>
      <c r="F31" s="169" t="s">
        <v>389</v>
      </c>
      <c r="G31" s="169" t="s">
        <v>390</v>
      </c>
      <c r="H31" s="169" t="s">
        <v>399</v>
      </c>
      <c r="I31" s="169" t="s">
        <v>101</v>
      </c>
    </row>
    <row r="32" spans="2:9">
      <c r="B32" s="169" t="s">
        <v>402</v>
      </c>
      <c r="D32" s="169">
        <f>Table68[[#Totals],[Segment Length (mi)]]</f>
        <v>0</v>
      </c>
      <c r="E32" s="169">
        <f>Table68[[#Totals],['# of Existing Cyclists]]</f>
        <v>0</v>
      </c>
      <c r="F32" s="225" t="e">
        <f>Table68[[#Totals],[Value per Cycling Mile]]</f>
        <v>#DIV/0!</v>
      </c>
      <c r="G32" s="225">
        <f>Table68[[#Totals],[Benefits to Existing Users Daily]]</f>
        <v>0</v>
      </c>
      <c r="H32" s="225">
        <f>Table68[[#Totals],[Annual Benefits ]]</f>
        <v>0</v>
      </c>
      <c r="I32" s="225">
        <f>Table70[[#This Row],[Annual Benefits]]*30</f>
        <v>0</v>
      </c>
    </row>
    <row r="33" spans="2:9">
      <c r="B33" s="169" t="s">
        <v>403</v>
      </c>
      <c r="D33" s="169">
        <f>Table69[[#Totals],[Segment Length (mi)]]</f>
        <v>0</v>
      </c>
      <c r="E33" s="333">
        <f>Table69[[#Totals],['# of Induced  Cyclists]]</f>
        <v>0</v>
      </c>
      <c r="F33" s="225" t="e">
        <f>Table69[[#Totals],[Value per Cycling Mile]]</f>
        <v>#DIV/0!</v>
      </c>
      <c r="G33" s="225">
        <f>Table69[[#Totals],[Benefits to Additional Users Daily]]</f>
        <v>0</v>
      </c>
      <c r="H33" s="225">
        <f>Table69[[#Totals],[Annual Benefits]]</f>
        <v>0</v>
      </c>
      <c r="I33" s="225">
        <f>Table70[[#This Row],[Annual Benefits]]*30</f>
        <v>0</v>
      </c>
    </row>
    <row r="34" spans="2:9">
      <c r="B34" s="169" t="s">
        <v>26</v>
      </c>
      <c r="H34" s="225">
        <f>SUBTOTAL(109,Table70[Annual Benefits])</f>
        <v>0</v>
      </c>
      <c r="I34" s="225">
        <f>SUBTOTAL(109,Table70[30-Year Total])</f>
        <v>0</v>
      </c>
    </row>
    <row r="43" spans="2:9" ht="12.75" customHeight="1"/>
    <row r="44" spans="2:9" ht="13.5" customHeight="1"/>
    <row r="71" ht="25.5" customHeight="1"/>
  </sheetData>
  <mergeCells count="6">
    <mergeCell ref="A1:I1"/>
    <mergeCell ref="B6:I6"/>
    <mergeCell ref="B8:I8"/>
    <mergeCell ref="B9:I9"/>
    <mergeCell ref="B10:I10"/>
    <mergeCell ref="B7:I7"/>
  </mergeCells>
  <pageMargins left="0.7" right="0.7" top="0.75" bottom="0.75" header="0.3" footer="0.3"/>
  <pageSetup scale="83" fitToHeight="0" orientation="landscape" r:id="rId1"/>
  <rowBreaks count="1" manualBreakCount="1">
    <brk id="19" max="16383" man="1"/>
  </rowBreaks>
  <drawing r:id="rId2"/>
  <tableParts count="3">
    <tablePart r:id="rId3"/>
    <tablePart r:id="rId4"/>
    <tablePart r:id="rId5"/>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E0DFC-D0AE-4D48-A161-5EEA6F5CB25C}">
  <sheetPr>
    <tabColor theme="9"/>
    <pageSetUpPr fitToPage="1"/>
  </sheetPr>
  <dimension ref="A1:I18"/>
  <sheetViews>
    <sheetView showGridLines="0" workbookViewId="0">
      <selection activeCell="E25" sqref="E25"/>
    </sheetView>
  </sheetViews>
  <sheetFormatPr defaultRowHeight="12.75"/>
  <cols>
    <col min="1" max="1" width="21.7109375" customWidth="1"/>
    <col min="2" max="2" width="30" bestFit="1" customWidth="1"/>
    <col min="3" max="8" width="15.7109375" customWidth="1"/>
    <col min="9" max="9" width="25.7109375" customWidth="1"/>
  </cols>
  <sheetData>
    <row r="1" spans="1:9" ht="15" customHeight="1">
      <c r="A1" s="150" t="s">
        <v>404</v>
      </c>
      <c r="B1" s="151"/>
      <c r="C1" s="151"/>
      <c r="D1" s="151"/>
      <c r="E1" s="151"/>
      <c r="F1" s="151"/>
      <c r="G1" s="151"/>
      <c r="H1" s="151"/>
      <c r="I1" s="151"/>
    </row>
    <row r="2" spans="1:9" ht="15" customHeight="1">
      <c r="A2" s="87" t="s">
        <v>1</v>
      </c>
      <c r="B2" s="71" t="str">
        <f>Project_Name</f>
        <v>Right-Sizing Route 37: Improving Community Connectivity</v>
      </c>
      <c r="C2" s="82"/>
      <c r="D2" s="82"/>
      <c r="E2" s="82"/>
      <c r="F2" s="82"/>
      <c r="G2" s="82"/>
      <c r="H2" s="82"/>
      <c r="I2" s="82"/>
    </row>
    <row r="3" spans="1:9" ht="15" customHeight="1">
      <c r="A3" s="87" t="s">
        <v>3</v>
      </c>
      <c r="B3" s="88">
        <f>Date</f>
        <v>44985</v>
      </c>
      <c r="C3" s="82"/>
      <c r="D3" s="82"/>
      <c r="E3" s="82"/>
      <c r="F3" s="82"/>
      <c r="G3" s="82"/>
      <c r="H3" s="82"/>
      <c r="I3" s="82"/>
    </row>
    <row r="4" spans="1:9" ht="30" customHeight="1" thickBot="1">
      <c r="A4" s="82"/>
      <c r="B4" s="82"/>
      <c r="C4" s="82"/>
      <c r="D4" s="82"/>
      <c r="E4" s="82"/>
      <c r="F4" s="82"/>
      <c r="G4" s="82"/>
      <c r="H4" s="82"/>
      <c r="I4" s="82"/>
    </row>
    <row r="5" spans="1:9" ht="30" customHeight="1" thickBot="1">
      <c r="A5" s="102" t="s">
        <v>103</v>
      </c>
      <c r="B5" s="474"/>
      <c r="C5" s="475"/>
      <c r="D5" s="475"/>
      <c r="E5" s="475"/>
      <c r="F5" s="475"/>
      <c r="G5" s="475"/>
      <c r="H5" s="475"/>
      <c r="I5" s="476"/>
    </row>
    <row r="6" spans="1:9" ht="30" customHeight="1" thickBot="1">
      <c r="A6" s="102" t="s">
        <v>105</v>
      </c>
      <c r="B6" s="474"/>
      <c r="C6" s="475"/>
      <c r="D6" s="475"/>
      <c r="E6" s="475"/>
      <c r="F6" s="475"/>
      <c r="G6" s="475"/>
      <c r="H6" s="475"/>
      <c r="I6" s="476"/>
    </row>
    <row r="7" spans="1:9" ht="30" customHeight="1" thickBot="1">
      <c r="A7" s="102" t="s">
        <v>107</v>
      </c>
      <c r="B7" s="474"/>
      <c r="C7" s="475"/>
      <c r="D7" s="475"/>
      <c r="E7" s="475"/>
      <c r="F7" s="475"/>
      <c r="G7" s="475"/>
      <c r="H7" s="475"/>
      <c r="I7" s="476"/>
    </row>
    <row r="8" spans="1:9" ht="30" customHeight="1" thickBot="1">
      <c r="A8" s="102" t="s">
        <v>109</v>
      </c>
      <c r="B8" s="474"/>
      <c r="C8" s="475"/>
      <c r="D8" s="475"/>
      <c r="E8" s="475"/>
      <c r="F8" s="475"/>
      <c r="G8" s="475"/>
      <c r="H8" s="475"/>
      <c r="I8" s="476"/>
    </row>
    <row r="9" spans="1:9" ht="69.75" customHeight="1" thickBot="1">
      <c r="A9" s="102" t="s">
        <v>111</v>
      </c>
      <c r="B9" s="474"/>
      <c r="C9" s="475"/>
      <c r="D9" s="475"/>
      <c r="E9" s="475"/>
      <c r="F9" s="475"/>
      <c r="G9" s="475"/>
      <c r="H9" s="475"/>
      <c r="I9" s="476"/>
    </row>
    <row r="11" spans="1:9">
      <c r="A11" s="226" t="s">
        <v>405</v>
      </c>
    </row>
    <row r="13" spans="1:9" s="308" customFormat="1" ht="38.25">
      <c r="A13" s="304" t="s">
        <v>39</v>
      </c>
      <c r="B13" s="309" t="s">
        <v>406</v>
      </c>
      <c r="C13" s="309" t="s">
        <v>407</v>
      </c>
      <c r="D13" s="309" t="s">
        <v>408</v>
      </c>
      <c r="E13" s="309" t="s">
        <v>409</v>
      </c>
      <c r="F13" s="309" t="s">
        <v>410</v>
      </c>
      <c r="G13" s="309" t="s">
        <v>411</v>
      </c>
      <c r="H13" s="309" t="s">
        <v>328</v>
      </c>
      <c r="I13" s="309" t="s">
        <v>101</v>
      </c>
    </row>
    <row r="14" spans="1:9">
      <c r="A14" t="s">
        <v>412</v>
      </c>
      <c r="B14" s="229"/>
      <c r="C14" s="227"/>
      <c r="D14" s="227"/>
      <c r="E14" s="228"/>
      <c r="F14" s="177">
        <f>'Appendix A. Parameter Values'!C101</f>
        <v>7.2</v>
      </c>
      <c r="G14" s="177">
        <f>E14*F14</f>
        <v>0</v>
      </c>
      <c r="H14" s="177">
        <f>Table71[[#This Row],[Benefits to Induced Users Daily]]*365</f>
        <v>0</v>
      </c>
      <c r="I14" s="177">
        <f>Table71[[#This Row],[Annual Benefit]]*30</f>
        <v>0</v>
      </c>
    </row>
    <row r="15" spans="1:9">
      <c r="A15" t="s">
        <v>413</v>
      </c>
      <c r="B15" s="229">
        <f>'9. Ped &amp; Cyclist Count Backup'!E38</f>
        <v>0</v>
      </c>
      <c r="C15" s="227"/>
      <c r="D15" s="227"/>
      <c r="E15" s="228">
        <f>Table71[[#This Row],['# Induced Trips]]*Table71[[#This Row],[% in Age Range]]*Table71[[#This Row],[% from Non-AT Modes]]</f>
        <v>0</v>
      </c>
      <c r="F15" s="177">
        <f>'Appendix A. Parameter Values'!C102</f>
        <v>6.42</v>
      </c>
      <c r="G15" s="177">
        <f>E15*F15</f>
        <v>0</v>
      </c>
      <c r="H15" s="177">
        <f>Table71[[#This Row],[Benefits to Induced Users Daily]]*365</f>
        <v>0</v>
      </c>
      <c r="I15" s="177">
        <f>Table71[[#This Row],[Annual Benefit]]*30</f>
        <v>0</v>
      </c>
    </row>
    <row r="16" spans="1:9">
      <c r="A16" t="s">
        <v>26</v>
      </c>
      <c r="B16" s="230"/>
      <c r="C16" s="310"/>
      <c r="D16" s="310"/>
      <c r="G16" s="177">
        <f>SUBTOTAL(109,Table71[Benefits to Induced Users Daily])</f>
        <v>0</v>
      </c>
      <c r="H16" s="177">
        <f>SUBTOTAL(109,Table71[Annual Benefit])</f>
        <v>0</v>
      </c>
      <c r="I16" s="177">
        <f>SUBTOTAL(109,Table71[30-Year Total])</f>
        <v>0</v>
      </c>
    </row>
    <row r="18" spans="2:2">
      <c r="B18" s="226"/>
    </row>
  </sheetData>
  <mergeCells count="5">
    <mergeCell ref="B5:I5"/>
    <mergeCell ref="B6:I6"/>
    <mergeCell ref="B7:I7"/>
    <mergeCell ref="B8:I8"/>
    <mergeCell ref="B9:I9"/>
  </mergeCells>
  <pageMargins left="0.7" right="0.7" top="0.75" bottom="0.75" header="0.3" footer="0.3"/>
  <pageSetup scale="72" fitToHeight="0" orientation="landscape" r:id="rId1"/>
  <drawing r:id="rId2"/>
  <tableParts count="1">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C8E26-1C23-493D-8C08-F6D0F54CC624}">
  <sheetPr>
    <tabColor theme="0" tint="-0.249977111117893"/>
    <pageSetUpPr fitToPage="1"/>
  </sheetPr>
  <dimension ref="A1:I43"/>
  <sheetViews>
    <sheetView showGridLines="0" zoomScaleNormal="100" workbookViewId="0">
      <selection activeCell="H28" sqref="H28"/>
    </sheetView>
  </sheetViews>
  <sheetFormatPr defaultRowHeight="12.75"/>
  <cols>
    <col min="1" max="1" width="25.5703125" customWidth="1"/>
    <col min="2" max="2" width="63" customWidth="1"/>
    <col min="3" max="3" width="59.140625" customWidth="1"/>
    <col min="4" max="4" width="15.5703125" customWidth="1"/>
    <col min="5" max="5" width="14" customWidth="1"/>
    <col min="6" max="6" width="9.140625" customWidth="1"/>
    <col min="7" max="7" width="15.85546875" customWidth="1"/>
    <col min="8" max="8" width="9.140625" customWidth="1"/>
  </cols>
  <sheetData>
    <row r="1" spans="1:9">
      <c r="A1" s="445" t="s">
        <v>414</v>
      </c>
      <c r="B1" s="446"/>
      <c r="C1" s="446"/>
      <c r="D1" s="446"/>
      <c r="E1" s="446"/>
      <c r="F1" s="446"/>
      <c r="G1" s="446"/>
      <c r="H1" s="446"/>
      <c r="I1" s="446"/>
    </row>
    <row r="2" spans="1:9">
      <c r="A2" s="99" t="s">
        <v>1</v>
      </c>
      <c r="B2" s="71" t="str">
        <f>Project_Name</f>
        <v>Right-Sizing Route 37: Improving Community Connectivity</v>
      </c>
      <c r="C2" s="81"/>
      <c r="D2" s="81"/>
      <c r="E2" s="81"/>
      <c r="F2" s="81"/>
      <c r="G2" s="81"/>
      <c r="H2" s="81"/>
      <c r="I2" s="81"/>
    </row>
    <row r="3" spans="1:9">
      <c r="A3" s="99" t="s">
        <v>3</v>
      </c>
      <c r="B3" s="100">
        <f>Date</f>
        <v>44985</v>
      </c>
      <c r="C3" s="81"/>
      <c r="D3" s="81"/>
      <c r="E3" s="81"/>
      <c r="F3" s="81"/>
      <c r="G3" s="81"/>
      <c r="H3" s="81"/>
      <c r="I3" s="81"/>
    </row>
    <row r="4" spans="1:9" ht="30" customHeight="1">
      <c r="A4" s="81"/>
      <c r="B4" s="81"/>
      <c r="C4" s="81"/>
      <c r="D4" s="81" t="s">
        <v>364</v>
      </c>
      <c r="E4" s="81"/>
      <c r="F4" s="81"/>
      <c r="G4" s="81"/>
      <c r="H4" s="81"/>
      <c r="I4" s="81"/>
    </row>
    <row r="5" spans="1:9">
      <c r="A5" s="81"/>
      <c r="B5" s="81"/>
      <c r="C5" s="81"/>
      <c r="D5" s="81"/>
      <c r="E5" s="81"/>
      <c r="F5" s="81"/>
      <c r="G5" s="81"/>
      <c r="H5" s="81"/>
      <c r="I5" s="81"/>
    </row>
    <row r="6" spans="1:9" ht="13.5" hidden="1" customHeight="1">
      <c r="A6" s="483"/>
      <c r="B6" s="484"/>
      <c r="C6" s="484"/>
      <c r="D6" s="484"/>
      <c r="E6" s="484"/>
      <c r="F6" s="484"/>
      <c r="G6" s="484"/>
      <c r="H6" s="484"/>
      <c r="I6" s="485"/>
    </row>
    <row r="7" spans="1:9" ht="13.5" hidden="1" customHeight="1">
      <c r="A7" s="486"/>
      <c r="B7" s="487"/>
      <c r="C7" s="487"/>
      <c r="D7" s="487"/>
      <c r="E7" s="487"/>
      <c r="F7" s="487"/>
      <c r="G7" s="487"/>
      <c r="H7" s="487"/>
      <c r="I7" s="488"/>
    </row>
    <row r="8" spans="1:9" ht="13.5" hidden="1" customHeight="1">
      <c r="A8" s="486"/>
      <c r="B8" s="487"/>
      <c r="C8" s="487"/>
      <c r="D8" s="487"/>
      <c r="E8" s="487"/>
      <c r="F8" s="487"/>
      <c r="G8" s="487"/>
      <c r="H8" s="487"/>
      <c r="I8" s="488"/>
    </row>
    <row r="9" spans="1:9" ht="13.5" hidden="1" customHeight="1">
      <c r="A9" s="486"/>
      <c r="B9" s="487"/>
      <c r="C9" s="487"/>
      <c r="D9" s="487"/>
      <c r="E9" s="487"/>
      <c r="F9" s="487"/>
      <c r="G9" s="487"/>
      <c r="H9" s="487"/>
      <c r="I9" s="488"/>
    </row>
    <row r="10" spans="1:9" ht="13.5" hidden="1" customHeight="1" thickBot="1">
      <c r="A10" s="489"/>
      <c r="B10" s="490"/>
      <c r="C10" s="490"/>
      <c r="D10" s="490"/>
      <c r="E10" s="490"/>
      <c r="F10" s="490"/>
      <c r="G10" s="490"/>
      <c r="H10" s="490"/>
      <c r="I10" s="491"/>
    </row>
    <row r="13" spans="1:9" ht="13.5" thickBot="1"/>
    <row r="14" spans="1:9">
      <c r="A14" s="477" t="s">
        <v>415</v>
      </c>
      <c r="B14" s="478" t="s">
        <v>416</v>
      </c>
      <c r="C14" s="234"/>
      <c r="D14" s="235" t="s">
        <v>417</v>
      </c>
      <c r="E14" s="236" t="s">
        <v>418</v>
      </c>
    </row>
    <row r="15" spans="1:9">
      <c r="A15" s="477"/>
      <c r="B15" s="479"/>
      <c r="C15" s="226" t="s">
        <v>419</v>
      </c>
      <c r="D15" s="260"/>
      <c r="E15" s="261"/>
    </row>
    <row r="16" spans="1:9">
      <c r="A16" s="477"/>
      <c r="B16" s="479"/>
      <c r="C16" s="226"/>
      <c r="D16" s="260"/>
      <c r="E16" s="262"/>
    </row>
    <row r="17" spans="1:6">
      <c r="A17" s="477"/>
      <c r="B17" s="252"/>
      <c r="C17" s="226"/>
      <c r="D17" s="260"/>
      <c r="E17" s="262"/>
    </row>
    <row r="18" spans="1:6" ht="121.5" customHeight="1" thickBot="1">
      <c r="A18" s="477"/>
      <c r="B18" s="253" t="s">
        <v>420</v>
      </c>
      <c r="C18" s="254"/>
      <c r="D18" s="254"/>
      <c r="E18" s="255"/>
    </row>
    <row r="19" spans="1:6" ht="13.5" thickBot="1"/>
    <row r="20" spans="1:6" ht="12.75" customHeight="1">
      <c r="A20" s="477" t="s">
        <v>421</v>
      </c>
      <c r="B20" s="478" t="s">
        <v>416</v>
      </c>
      <c r="C20" s="234"/>
      <c r="D20" s="235" t="s">
        <v>417</v>
      </c>
      <c r="E20" s="236" t="s">
        <v>418</v>
      </c>
      <c r="F20" s="233"/>
    </row>
    <row r="21" spans="1:6">
      <c r="A21" s="477"/>
      <c r="B21" s="479"/>
      <c r="C21" s="226" t="s">
        <v>419</v>
      </c>
      <c r="D21" s="260"/>
      <c r="E21" s="261"/>
      <c r="F21" s="233"/>
    </row>
    <row r="22" spans="1:6">
      <c r="A22" s="477"/>
      <c r="B22" s="479"/>
      <c r="C22" s="226"/>
      <c r="D22" s="260"/>
      <c r="E22" s="262"/>
      <c r="F22" s="233"/>
    </row>
    <row r="23" spans="1:6">
      <c r="A23" s="477"/>
      <c r="B23" s="252"/>
      <c r="C23" s="226"/>
      <c r="D23" s="260"/>
      <c r="E23" s="262"/>
      <c r="F23" s="233"/>
    </row>
    <row r="24" spans="1:6">
      <c r="A24" s="477"/>
      <c r="B24" s="249"/>
      <c r="E24" s="248"/>
      <c r="F24" s="233"/>
    </row>
    <row r="25" spans="1:6">
      <c r="A25" s="477"/>
      <c r="B25" s="249"/>
      <c r="E25" s="248"/>
      <c r="F25" s="233"/>
    </row>
    <row r="26" spans="1:6">
      <c r="A26" s="477"/>
      <c r="B26" s="249"/>
      <c r="D26" s="245" t="s">
        <v>417</v>
      </c>
      <c r="E26" s="246" t="s">
        <v>418</v>
      </c>
      <c r="F26" s="233"/>
    </row>
    <row r="27" spans="1:6">
      <c r="A27" s="477"/>
      <c r="B27" s="250" t="s">
        <v>422</v>
      </c>
      <c r="C27" s="226"/>
      <c r="D27" s="229"/>
      <c r="E27" s="247"/>
      <c r="F27" s="233"/>
    </row>
    <row r="28" spans="1:6" ht="26.25" customHeight="1">
      <c r="A28" s="477"/>
      <c r="B28" s="482" t="s">
        <v>423</v>
      </c>
      <c r="C28" s="356" t="s">
        <v>424</v>
      </c>
      <c r="D28" s="230"/>
      <c r="E28" s="237"/>
      <c r="F28" s="233"/>
    </row>
    <row r="29" spans="1:6">
      <c r="A29" s="477"/>
      <c r="B29" s="482"/>
      <c r="C29" s="226"/>
      <c r="D29" s="229"/>
      <c r="E29" s="247"/>
      <c r="F29" s="233"/>
    </row>
    <row r="30" spans="1:6">
      <c r="A30" s="477"/>
      <c r="B30" s="482"/>
      <c r="C30" s="226"/>
      <c r="D30" s="230"/>
      <c r="E30" s="237"/>
      <c r="F30" s="233"/>
    </row>
    <row r="31" spans="1:6" ht="13.5" thickBot="1">
      <c r="A31" s="477"/>
      <c r="B31" s="251"/>
      <c r="C31" s="238" t="s">
        <v>425</v>
      </c>
      <c r="D31" s="258">
        <f>D29*D30</f>
        <v>0</v>
      </c>
      <c r="E31" s="259">
        <f>E30</f>
        <v>0</v>
      </c>
      <c r="F31" s="233"/>
    </row>
    <row r="32" spans="1:6">
      <c r="D32" s="229"/>
      <c r="E32" s="229"/>
      <c r="F32" s="233"/>
    </row>
    <row r="33" spans="1:6" ht="13.5" thickBot="1">
      <c r="F33" s="233"/>
    </row>
    <row r="34" spans="1:6">
      <c r="A34" s="477" t="s">
        <v>426</v>
      </c>
      <c r="B34" s="478" t="s">
        <v>427</v>
      </c>
      <c r="C34" s="239" t="s">
        <v>428</v>
      </c>
      <c r="D34" s="240"/>
      <c r="E34" s="241"/>
      <c r="F34" s="233"/>
    </row>
    <row r="35" spans="1:6">
      <c r="A35" s="477"/>
      <c r="B35" s="479"/>
      <c r="C35" s="226" t="s">
        <v>429</v>
      </c>
      <c r="D35" s="242"/>
      <c r="E35" s="237"/>
      <c r="F35" s="233"/>
    </row>
    <row r="36" spans="1:6">
      <c r="A36" s="477"/>
      <c r="B36" s="479"/>
      <c r="D36" s="243"/>
      <c r="E36" s="244"/>
      <c r="F36" s="233"/>
    </row>
    <row r="37" spans="1:6">
      <c r="A37" s="477"/>
      <c r="B37" s="479"/>
      <c r="D37" s="245" t="s">
        <v>417</v>
      </c>
      <c r="E37" s="246" t="s">
        <v>418</v>
      </c>
      <c r="F37" s="233"/>
    </row>
    <row r="38" spans="1:6" ht="13.5" thickBot="1">
      <c r="A38" s="477"/>
      <c r="B38" s="480"/>
      <c r="C38" s="238" t="s">
        <v>430</v>
      </c>
      <c r="D38" s="263"/>
      <c r="E38" s="264"/>
      <c r="F38" s="233"/>
    </row>
    <row r="39" spans="1:6">
      <c r="F39" s="233"/>
    </row>
    <row r="40" spans="1:6">
      <c r="C40" s="229"/>
      <c r="D40" s="229"/>
    </row>
    <row r="41" spans="1:6">
      <c r="B41" s="481"/>
      <c r="C41" s="229"/>
      <c r="D41" s="229"/>
    </row>
    <row r="42" spans="1:6">
      <c r="B42" s="481"/>
    </row>
    <row r="43" spans="1:6">
      <c r="B43" s="481"/>
    </row>
  </sheetData>
  <mergeCells count="10">
    <mergeCell ref="A6:I10"/>
    <mergeCell ref="A1:I1"/>
    <mergeCell ref="B14:B16"/>
    <mergeCell ref="A14:A18"/>
    <mergeCell ref="A20:A31"/>
    <mergeCell ref="A34:A38"/>
    <mergeCell ref="B34:B38"/>
    <mergeCell ref="B20:B22"/>
    <mergeCell ref="B41:B43"/>
    <mergeCell ref="B28:B30"/>
  </mergeCells>
  <pageMargins left="0.7" right="0.7" top="0.75" bottom="0.75" header="0.3" footer="0.3"/>
  <pageSetup scale="56" orientation="landscape" horizontalDpi="1200" verticalDpi="120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pageSetUpPr fitToPage="1"/>
  </sheetPr>
  <dimension ref="A1:L27"/>
  <sheetViews>
    <sheetView topLeftCell="A7" workbookViewId="0">
      <selection activeCell="G26" sqref="G26"/>
    </sheetView>
  </sheetViews>
  <sheetFormatPr defaultColWidth="9.140625" defaultRowHeight="14.25"/>
  <cols>
    <col min="1" max="1" width="12.7109375" style="13" customWidth="1"/>
    <col min="2" max="2" width="33.140625" style="13" customWidth="1"/>
    <col min="3" max="3" width="11.28515625" style="13" customWidth="1"/>
    <col min="4" max="6" width="9.140625" style="13"/>
    <col min="7" max="7" width="19.140625" style="13" customWidth="1"/>
    <col min="8" max="16384" width="9.140625" style="13"/>
  </cols>
  <sheetData>
    <row r="1" spans="1:12">
      <c r="A1" s="492" t="s">
        <v>431</v>
      </c>
      <c r="B1" s="493"/>
      <c r="C1" s="493"/>
      <c r="D1" s="493"/>
      <c r="E1" s="493"/>
      <c r="F1" s="493"/>
      <c r="G1" s="493"/>
      <c r="H1" s="493"/>
      <c r="I1" s="493"/>
      <c r="J1" s="493"/>
      <c r="K1" s="493"/>
      <c r="L1" s="493"/>
    </row>
    <row r="2" spans="1:12">
      <c r="A2" s="14" t="s">
        <v>1</v>
      </c>
      <c r="B2" s="10" t="s">
        <v>225</v>
      </c>
    </row>
    <row r="3" spans="1:12">
      <c r="A3" s="14" t="s">
        <v>3</v>
      </c>
      <c r="B3" s="15">
        <f ca="1">TODAY()</f>
        <v>44985</v>
      </c>
    </row>
    <row r="4" spans="1:12" ht="30.75" customHeight="1" thickBot="1"/>
    <row r="5" spans="1:12">
      <c r="A5" s="494" t="s">
        <v>432</v>
      </c>
      <c r="B5" s="495"/>
      <c r="C5" s="495"/>
      <c r="D5" s="495"/>
      <c r="E5" s="495"/>
      <c r="F5" s="495"/>
      <c r="G5" s="495"/>
      <c r="H5" s="495"/>
      <c r="I5" s="495"/>
      <c r="J5" s="495"/>
      <c r="K5" s="495"/>
      <c r="L5" s="496"/>
    </row>
    <row r="6" spans="1:12" ht="202.5" customHeight="1" thickBot="1">
      <c r="A6" s="497"/>
      <c r="B6" s="498"/>
      <c r="C6" s="498"/>
      <c r="D6" s="498"/>
      <c r="E6" s="498"/>
      <c r="F6" s="498"/>
      <c r="G6" s="498"/>
      <c r="H6" s="498"/>
      <c r="I6" s="498"/>
      <c r="J6" s="498"/>
      <c r="K6" s="498"/>
      <c r="L6" s="499"/>
    </row>
    <row r="7" spans="1:12">
      <c r="A7" s="500" t="s">
        <v>433</v>
      </c>
      <c r="B7" s="500"/>
      <c r="C7" s="500"/>
      <c r="D7" s="500"/>
      <c r="E7" s="500"/>
      <c r="F7" s="500"/>
      <c r="G7" s="500"/>
    </row>
    <row r="8" spans="1:12">
      <c r="B8" s="14" t="s">
        <v>434</v>
      </c>
      <c r="C8" s="12"/>
      <c r="D8" s="13" t="s">
        <v>312</v>
      </c>
    </row>
    <row r="9" spans="1:12">
      <c r="B9" s="14" t="s">
        <v>435</v>
      </c>
      <c r="C9" s="11"/>
      <c r="D9" s="13" t="s">
        <v>302</v>
      </c>
    </row>
    <row r="10" spans="1:12">
      <c r="B10" s="14" t="s">
        <v>436</v>
      </c>
      <c r="C10" s="56">
        <v>0</v>
      </c>
      <c r="D10" s="13" t="s">
        <v>437</v>
      </c>
    </row>
    <row r="11" spans="1:12">
      <c r="B11" s="14" t="s">
        <v>438</v>
      </c>
      <c r="C11" s="16">
        <v>0.43</v>
      </c>
      <c r="D11" s="13" t="s">
        <v>307</v>
      </c>
      <c r="E11" s="17"/>
    </row>
    <row r="12" spans="1:12">
      <c r="B12" s="14" t="s">
        <v>439</v>
      </c>
      <c r="C12" s="16">
        <v>0.93</v>
      </c>
      <c r="D12" s="13" t="s">
        <v>307</v>
      </c>
      <c r="E12" s="17"/>
    </row>
    <row r="13" spans="1:12">
      <c r="B13" s="14" t="s">
        <v>303</v>
      </c>
      <c r="C13" s="18">
        <v>0.94</v>
      </c>
    </row>
    <row r="14" spans="1:12">
      <c r="B14" s="14" t="s">
        <v>305</v>
      </c>
      <c r="C14" s="18">
        <v>0.06</v>
      </c>
    </row>
    <row r="15" spans="1:12" ht="15" thickBot="1"/>
    <row r="16" spans="1:12" ht="15" thickBot="1">
      <c r="B16" s="19"/>
      <c r="C16" s="20"/>
      <c r="D16" s="20"/>
      <c r="E16" s="20"/>
      <c r="F16" s="21" t="s">
        <v>440</v>
      </c>
      <c r="G16" s="22">
        <f>(C9*C10*C11*C13*C8)+(C8*C9*C10*C12*C14)</f>
        <v>0</v>
      </c>
    </row>
    <row r="17" spans="1:7">
      <c r="F17" s="23"/>
      <c r="G17" s="24"/>
    </row>
    <row r="18" spans="1:7">
      <c r="A18" s="501" t="s">
        <v>441</v>
      </c>
      <c r="B18" s="501"/>
      <c r="C18" s="501"/>
      <c r="D18" s="501"/>
      <c r="E18" s="501"/>
      <c r="F18" s="501"/>
      <c r="G18" s="501"/>
    </row>
    <row r="19" spans="1:7">
      <c r="B19" s="14" t="s">
        <v>442</v>
      </c>
      <c r="C19" s="25">
        <v>1.67</v>
      </c>
      <c r="D19" s="13" t="s">
        <v>443</v>
      </c>
    </row>
    <row r="20" spans="1:7">
      <c r="B20" s="14" t="s">
        <v>444</v>
      </c>
      <c r="C20" s="25">
        <v>1</v>
      </c>
      <c r="D20" s="13" t="s">
        <v>443</v>
      </c>
    </row>
    <row r="21" spans="1:7">
      <c r="B21" s="14" t="s">
        <v>306</v>
      </c>
      <c r="C21" s="26">
        <v>17.899999999999999</v>
      </c>
      <c r="D21" s="13" t="s">
        <v>307</v>
      </c>
    </row>
    <row r="22" spans="1:7">
      <c r="B22" s="14" t="s">
        <v>308</v>
      </c>
      <c r="C22" s="26">
        <v>30.8</v>
      </c>
      <c r="D22" s="13" t="s">
        <v>307</v>
      </c>
    </row>
    <row r="23" spans="1:7">
      <c r="B23" s="14" t="s">
        <v>445</v>
      </c>
      <c r="C23" s="12">
        <v>0</v>
      </c>
      <c r="D23" s="13" t="s">
        <v>446</v>
      </c>
    </row>
    <row r="24" spans="1:7" ht="15" thickBot="1"/>
    <row r="25" spans="1:7" ht="15" thickBot="1">
      <c r="B25" s="19"/>
      <c r="C25" s="20"/>
      <c r="D25" s="20"/>
      <c r="E25" s="20"/>
      <c r="F25" s="21" t="s">
        <v>447</v>
      </c>
      <c r="G25" s="22">
        <f>IFERROR((C8*C9*C13*C19*C21*(C10/C23))+(C8*C9*C14*C20*C22*(C10/C23)),0)</f>
        <v>0</v>
      </c>
    </row>
    <row r="26" spans="1:7" ht="15" thickBot="1"/>
    <row r="27" spans="1:7" ht="38.25" customHeight="1" thickBot="1">
      <c r="B27" s="27"/>
      <c r="C27" s="28"/>
      <c r="D27" s="28"/>
      <c r="E27" s="28"/>
      <c r="F27" s="29" t="s">
        <v>448</v>
      </c>
      <c r="G27" s="30">
        <f>SUM(G25,G16)</f>
        <v>0</v>
      </c>
    </row>
  </sheetData>
  <mergeCells count="4">
    <mergeCell ref="A1:L1"/>
    <mergeCell ref="A5:L6"/>
    <mergeCell ref="A7:G7"/>
    <mergeCell ref="A18:G18"/>
  </mergeCells>
  <pageMargins left="0.7" right="0.7" top="0.75" bottom="0.75" header="0.3" footer="0.3"/>
  <pageSetup paperSize="3"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AE566D-BBEF-4771-BC3B-AF43DC3ED098}">
  <sheetPr>
    <tabColor rgb="FFFF0000"/>
    <pageSetUpPr fitToPage="1"/>
  </sheetPr>
  <dimension ref="A1:I85"/>
  <sheetViews>
    <sheetView showGridLines="0" view="pageBreakPreview" zoomScale="85" zoomScaleNormal="100" zoomScaleSheetLayoutView="85" workbookViewId="0">
      <selection activeCell="A3" sqref="A3:XFD3"/>
    </sheetView>
  </sheetViews>
  <sheetFormatPr defaultColWidth="9.140625" defaultRowHeight="12.75"/>
  <cols>
    <col min="1" max="1" width="21.7109375" style="76" customWidth="1"/>
    <col min="2" max="2" width="53.28515625" style="61" customWidth="1"/>
    <col min="3" max="3" width="21.140625" style="61" bestFit="1" customWidth="1"/>
    <col min="4" max="7" width="20.85546875" style="61" customWidth="1"/>
    <col min="8" max="8" width="1.28515625" style="61" customWidth="1"/>
    <col min="9" max="9" width="1.140625" style="61" customWidth="1"/>
    <col min="10" max="10" width="8.140625" style="61" customWidth="1"/>
    <col min="11" max="16384" width="9.140625" style="61"/>
  </cols>
  <sheetData>
    <row r="1" spans="1:8" ht="15" customHeight="1">
      <c r="A1" s="505" t="s">
        <v>449</v>
      </c>
      <c r="B1" s="506"/>
      <c r="C1" s="506"/>
      <c r="D1" s="506"/>
      <c r="E1" s="506"/>
      <c r="F1" s="506"/>
      <c r="G1" s="506"/>
      <c r="H1" s="506"/>
    </row>
    <row r="2" spans="1:8" ht="15" customHeight="1">
      <c r="A2" s="87" t="s">
        <v>1</v>
      </c>
      <c r="B2" s="71" t="str">
        <f>Project_Name</f>
        <v>Right-Sizing Route 37: Improving Community Connectivity</v>
      </c>
      <c r="C2" s="82"/>
      <c r="D2" s="82"/>
      <c r="E2" s="82"/>
      <c r="F2" s="82"/>
      <c r="G2" s="82"/>
      <c r="H2" s="82"/>
    </row>
    <row r="3" spans="1:8" ht="15" hidden="1" customHeight="1">
      <c r="A3" s="87" t="s">
        <v>2</v>
      </c>
      <c r="B3" s="71"/>
      <c r="C3" s="82"/>
      <c r="D3" s="82"/>
      <c r="E3" s="82"/>
      <c r="F3" s="82"/>
      <c r="G3" s="82"/>
      <c r="H3" s="82"/>
    </row>
    <row r="4" spans="1:8" ht="15" customHeight="1">
      <c r="A4" s="87" t="s">
        <v>3</v>
      </c>
      <c r="B4" s="88">
        <f>Date</f>
        <v>44985</v>
      </c>
      <c r="C4" s="82"/>
      <c r="D4" s="82"/>
      <c r="E4" s="82"/>
      <c r="F4" s="82"/>
      <c r="G4" s="82"/>
      <c r="H4" s="82"/>
    </row>
    <row r="5" spans="1:8" ht="30" customHeight="1" thickBot="1">
      <c r="A5" s="82"/>
      <c r="B5" s="82"/>
      <c r="C5" s="82"/>
      <c r="D5" s="82"/>
      <c r="E5" s="82"/>
      <c r="F5" s="82"/>
      <c r="G5" s="82"/>
      <c r="H5" s="82"/>
    </row>
    <row r="6" spans="1:8" ht="161.25" customHeight="1" thickBot="1">
      <c r="A6" s="393" t="s">
        <v>103</v>
      </c>
      <c r="B6" s="502" t="s">
        <v>674</v>
      </c>
      <c r="C6" s="503"/>
      <c r="D6" s="503"/>
      <c r="E6" s="503"/>
      <c r="F6" s="503"/>
      <c r="G6" s="503"/>
      <c r="H6" s="504"/>
    </row>
    <row r="7" spans="1:8" ht="39.75" customHeight="1" thickBot="1">
      <c r="A7" s="393" t="s">
        <v>105</v>
      </c>
      <c r="B7" s="502" t="s">
        <v>450</v>
      </c>
      <c r="C7" s="503"/>
      <c r="D7" s="503"/>
      <c r="E7" s="503"/>
      <c r="F7" s="503"/>
      <c r="G7" s="503"/>
      <c r="H7" s="504"/>
    </row>
    <row r="8" spans="1:8" ht="39.75" customHeight="1" thickBot="1">
      <c r="A8" s="393" t="s">
        <v>107</v>
      </c>
      <c r="B8" s="502" t="s">
        <v>661</v>
      </c>
      <c r="C8" s="503"/>
      <c r="D8" s="503"/>
      <c r="E8" s="503"/>
      <c r="F8" s="503"/>
      <c r="G8" s="503"/>
      <c r="H8" s="504"/>
    </row>
    <row r="9" spans="1:8" ht="39.75" customHeight="1" thickBot="1">
      <c r="A9" s="393" t="s">
        <v>109</v>
      </c>
      <c r="B9" s="502" t="s">
        <v>451</v>
      </c>
      <c r="C9" s="503"/>
      <c r="D9" s="503"/>
      <c r="E9" s="503"/>
      <c r="F9" s="503"/>
      <c r="G9" s="503"/>
      <c r="H9" s="504"/>
    </row>
    <row r="10" spans="1:8" ht="39.75" customHeight="1" thickBot="1">
      <c r="A10" s="393" t="s">
        <v>111</v>
      </c>
      <c r="B10" s="502" t="s">
        <v>452</v>
      </c>
      <c r="C10" s="503"/>
      <c r="D10" s="503"/>
      <c r="E10" s="503"/>
      <c r="F10" s="503"/>
      <c r="G10" s="503"/>
      <c r="H10" s="504"/>
    </row>
    <row r="11" spans="1:8">
      <c r="A11" s="103"/>
      <c r="B11" s="104"/>
      <c r="C11" s="104"/>
      <c r="D11" s="104"/>
      <c r="E11" s="104"/>
    </row>
    <row r="12" spans="1:8">
      <c r="A12" s="103"/>
      <c r="B12" s="223" t="s">
        <v>453</v>
      </c>
      <c r="C12" s="104"/>
      <c r="D12" s="104"/>
      <c r="E12" s="104"/>
    </row>
    <row r="13" spans="1:8">
      <c r="A13" s="103"/>
      <c r="B13" s="104"/>
      <c r="C13" s="104"/>
      <c r="D13" s="104"/>
      <c r="E13" s="104"/>
    </row>
    <row r="14" spans="1:8" ht="25.5">
      <c r="A14" s="61"/>
      <c r="B14" s="97" t="s">
        <v>454</v>
      </c>
      <c r="C14" s="97" t="s">
        <v>455</v>
      </c>
      <c r="D14" s="89" t="s">
        <v>456</v>
      </c>
      <c r="E14" s="89" t="s">
        <v>457</v>
      </c>
      <c r="F14" s="89" t="s">
        <v>458</v>
      </c>
      <c r="G14" s="89" t="s">
        <v>459</v>
      </c>
    </row>
    <row r="15" spans="1:8" ht="25.5">
      <c r="A15" s="61"/>
      <c r="B15" s="394" t="s">
        <v>664</v>
      </c>
      <c r="C15" s="395" t="s">
        <v>665</v>
      </c>
      <c r="D15" s="390">
        <v>2023</v>
      </c>
      <c r="E15" s="391">
        <v>550000</v>
      </c>
      <c r="F15" s="392">
        <v>60000</v>
      </c>
      <c r="G15" s="392">
        <f>SUM(Table46[[#This Row],[Expected Cost ($)]:[Contingency 
($)]])</f>
        <v>610000</v>
      </c>
    </row>
    <row r="16" spans="1:8">
      <c r="A16" s="61"/>
      <c r="B16" s="123" t="s">
        <v>664</v>
      </c>
      <c r="C16" s="128" t="s">
        <v>666</v>
      </c>
      <c r="D16" s="123">
        <v>2024</v>
      </c>
      <c r="E16" s="222">
        <v>2100000</v>
      </c>
      <c r="F16" s="222">
        <v>315000</v>
      </c>
      <c r="G16" s="222">
        <f>SUM(Table46[[#This Row],[Expected Cost ($)]:[Contingency 
($)]])</f>
        <v>2415000</v>
      </c>
    </row>
    <row r="17" spans="1:9">
      <c r="A17" s="61"/>
      <c r="B17" s="123" t="s">
        <v>664</v>
      </c>
      <c r="C17" s="128" t="s">
        <v>667</v>
      </c>
      <c r="D17" s="123">
        <v>2025</v>
      </c>
      <c r="E17" s="222">
        <v>2500000</v>
      </c>
      <c r="F17" s="222">
        <v>375000</v>
      </c>
      <c r="G17" s="222">
        <f>SUM(Table46[[#This Row],[Expected Cost ($)]:[Contingency 
($)]])</f>
        <v>2875000</v>
      </c>
      <c r="I17" s="94"/>
    </row>
    <row r="18" spans="1:9">
      <c r="A18" s="61"/>
      <c r="B18" s="123" t="s">
        <v>668</v>
      </c>
      <c r="C18" s="128" t="s">
        <v>669</v>
      </c>
      <c r="D18" s="123">
        <v>2026</v>
      </c>
      <c r="E18" s="222">
        <v>28200000</v>
      </c>
      <c r="F18" s="222">
        <v>2700000</v>
      </c>
      <c r="G18" s="222">
        <f>SUM(Table46[[#This Row],[Expected Cost ($)]:[Contingency 
($)]])</f>
        <v>30900000</v>
      </c>
      <c r="H18" s="352"/>
      <c r="I18" s="94"/>
    </row>
    <row r="19" spans="1:9">
      <c r="A19" s="61"/>
      <c r="B19" s="123" t="s">
        <v>668</v>
      </c>
      <c r="C19" s="128" t="s">
        <v>670</v>
      </c>
      <c r="D19" s="123">
        <v>2027</v>
      </c>
      <c r="E19" s="222">
        <v>33750000</v>
      </c>
      <c r="F19" s="222">
        <v>3350000</v>
      </c>
      <c r="G19" s="222">
        <f>SUM(Table46[[#This Row],[Expected Cost ($)]:[Contingency 
($)]])</f>
        <v>37100000</v>
      </c>
      <c r="H19" s="352"/>
      <c r="I19" s="94"/>
    </row>
    <row r="20" spans="1:9">
      <c r="A20" s="61"/>
      <c r="B20" s="123" t="s">
        <v>668</v>
      </c>
      <c r="C20" s="128" t="s">
        <v>671</v>
      </c>
      <c r="D20" s="123">
        <v>2028</v>
      </c>
      <c r="E20" s="222">
        <v>21900000</v>
      </c>
      <c r="F20" s="222">
        <v>2500000</v>
      </c>
      <c r="G20" s="222">
        <f>SUM(Table46[[#This Row],[Expected Cost ($)]:[Contingency 
($)]])</f>
        <v>24400000</v>
      </c>
      <c r="H20" s="352"/>
      <c r="I20" s="94"/>
    </row>
    <row r="21" spans="1:9">
      <c r="A21" s="61"/>
      <c r="B21" s="123" t="s">
        <v>672</v>
      </c>
      <c r="C21" s="128" t="s">
        <v>673</v>
      </c>
      <c r="D21" s="123">
        <v>2029</v>
      </c>
      <c r="E21" s="222">
        <v>1500000</v>
      </c>
      <c r="F21" s="222">
        <v>200000</v>
      </c>
      <c r="G21" s="222">
        <f>SUM(Table46[[#This Row],[Expected Cost ($)]:[Contingency 
($)]])</f>
        <v>1700000</v>
      </c>
    </row>
    <row r="22" spans="1:9">
      <c r="A22" s="61"/>
      <c r="B22" s="128" t="s">
        <v>26</v>
      </c>
      <c r="C22" s="128"/>
      <c r="D22" s="123"/>
      <c r="E22" s="127">
        <f>SUBTOTAL(109,Table46[Expected Cost ($)])</f>
        <v>90500000</v>
      </c>
      <c r="F22" s="127">
        <f>SUBTOTAL(109,Table46[Contingency 
($)])</f>
        <v>9500000</v>
      </c>
      <c r="G22" s="127">
        <f>SUBTOTAL(109,Table46[Total 
($)])</f>
        <v>100000000</v>
      </c>
    </row>
    <row r="24" spans="1:9" hidden="1">
      <c r="B24" s="223" t="s">
        <v>463</v>
      </c>
    </row>
    <row r="25" spans="1:9" hidden="1"/>
    <row r="26" spans="1:9" ht="15" hidden="1">
      <c r="B26" s="357" t="s">
        <v>5</v>
      </c>
      <c r="C26" s="357" t="s">
        <v>464</v>
      </c>
      <c r="D26" s="357" t="s">
        <v>465</v>
      </c>
      <c r="E26" s="357" t="s">
        <v>466</v>
      </c>
      <c r="F26" s="357" t="s">
        <v>467</v>
      </c>
    </row>
    <row r="27" spans="1:9" hidden="1">
      <c r="B27" s="308"/>
      <c r="C27"/>
      <c r="D27"/>
      <c r="E27" s="358"/>
      <c r="F27" s="176">
        <f>Table1[[#This Row],[Cost]]*Table1[[#This Row],[Quantity]]</f>
        <v>0</v>
      </c>
    </row>
    <row r="28" spans="1:9" hidden="1">
      <c r="B28" s="308"/>
      <c r="C28"/>
      <c r="D28"/>
      <c r="E28" s="176"/>
      <c r="F28" s="358">
        <f>Table1[[#This Row],[Cost]]*Table1[[#This Row],[Quantity]]</f>
        <v>0</v>
      </c>
    </row>
    <row r="29" spans="1:9" hidden="1">
      <c r="B29" s="308"/>
      <c r="C29"/>
      <c r="D29"/>
      <c r="E29" s="358"/>
      <c r="F29" s="176">
        <f>Table1[[#This Row],[Cost]]*Table1[[#This Row],[Quantity]]</f>
        <v>0</v>
      </c>
    </row>
    <row r="30" spans="1:9" hidden="1">
      <c r="B30" s="308"/>
      <c r="C30"/>
      <c r="D30"/>
      <c r="E30" s="358"/>
      <c r="F30" s="176">
        <f>Table1[[#This Row],[Cost]]*Table1[[#This Row],[Quantity]]</f>
        <v>0</v>
      </c>
    </row>
    <row r="31" spans="1:9" hidden="1">
      <c r="B31" s="308"/>
      <c r="C31"/>
      <c r="D31"/>
      <c r="E31" s="176"/>
      <c r="F31" s="176">
        <f>Table1[[#This Row],[Cost]]*Table1[[#This Row],[Quantity]]</f>
        <v>0</v>
      </c>
    </row>
    <row r="32" spans="1:9" hidden="1">
      <c r="B32" s="308"/>
      <c r="C32"/>
      <c r="D32"/>
      <c r="E32" s="176"/>
      <c r="F32" s="176">
        <f>Table1[[#This Row],[Cost]]*Table1[[#This Row],[Quantity]]</f>
        <v>0</v>
      </c>
    </row>
    <row r="33" spans="2:6" hidden="1">
      <c r="B33" s="308"/>
      <c r="C33"/>
      <c r="D33"/>
      <c r="E33" s="176"/>
      <c r="F33" s="176">
        <f>Table1[[#This Row],[Cost]]*Table1[[#This Row],[Quantity]]</f>
        <v>0</v>
      </c>
    </row>
    <row r="34" spans="2:6" hidden="1">
      <c r="B34" s="308"/>
      <c r="C34"/>
      <c r="D34"/>
      <c r="E34" s="176"/>
      <c r="F34" s="176">
        <f>Table1[[#This Row],[Cost]]*Table1[[#This Row],[Quantity]]</f>
        <v>0</v>
      </c>
    </row>
    <row r="35" spans="2:6" hidden="1">
      <c r="B35" s="308"/>
      <c r="C35"/>
      <c r="D35"/>
      <c r="E35" s="176"/>
      <c r="F35" s="176">
        <f>Table1[[#This Row],[Cost]]*Table1[[#This Row],[Quantity]]</f>
        <v>0</v>
      </c>
    </row>
    <row r="36" spans="2:6" hidden="1">
      <c r="B36" s="308"/>
      <c r="C36" s="228"/>
      <c r="D36"/>
      <c r="E36" s="176"/>
      <c r="F36" s="176">
        <f>Table1[[#This Row],[Cost]]*Table1[[#This Row],[Quantity]]</f>
        <v>0</v>
      </c>
    </row>
    <row r="37" spans="2:6" hidden="1">
      <c r="B37" s="308"/>
      <c r="C37" s="228"/>
      <c r="D37"/>
      <c r="E37" s="176"/>
      <c r="F37" s="176">
        <f>Table1[[#This Row],[Cost]]*Table1[[#This Row],[Quantity]]</f>
        <v>0</v>
      </c>
    </row>
    <row r="38" spans="2:6" hidden="1">
      <c r="B38" s="308" t="s">
        <v>468</v>
      </c>
      <c r="C38"/>
      <c r="D38"/>
      <c r="E38"/>
      <c r="F38" s="177">
        <f>SUBTOTAL(109,Table1[Tot])</f>
        <v>0</v>
      </c>
    </row>
    <row r="39" spans="2:6" hidden="1"/>
    <row r="40" spans="2:6" hidden="1"/>
    <row r="41" spans="2:6" hidden="1">
      <c r="B41" s="223" t="s">
        <v>469</v>
      </c>
    </row>
    <row r="42" spans="2:6" hidden="1"/>
    <row r="43" spans="2:6" ht="15" hidden="1">
      <c r="B43" s="357" t="s">
        <v>5</v>
      </c>
      <c r="C43" s="357" t="s">
        <v>464</v>
      </c>
      <c r="D43" s="357" t="s">
        <v>465</v>
      </c>
      <c r="E43" s="357" t="s">
        <v>466</v>
      </c>
      <c r="F43" s="357" t="s">
        <v>467</v>
      </c>
    </row>
    <row r="44" spans="2:6" hidden="1">
      <c r="B44" s="308"/>
      <c r="C44"/>
      <c r="D44"/>
      <c r="E44" s="358"/>
      <c r="F44" s="176">
        <f>Table156[[#This Row],[Cost]]*Table156[[#This Row],[Quantity]]</f>
        <v>0</v>
      </c>
    </row>
    <row r="45" spans="2:6" hidden="1">
      <c r="B45" s="308"/>
      <c r="C45"/>
      <c r="D45"/>
      <c r="E45" s="176"/>
      <c r="F45" s="358">
        <f>Table156[[#This Row],[Cost]]*Table156[[#This Row],[Quantity]]</f>
        <v>0</v>
      </c>
    </row>
    <row r="46" spans="2:6" hidden="1">
      <c r="B46" s="308"/>
      <c r="C46"/>
      <c r="D46"/>
      <c r="E46" s="358"/>
      <c r="F46" s="176">
        <f>Table156[[#This Row],[Cost]]*Table156[[#This Row],[Quantity]]</f>
        <v>0</v>
      </c>
    </row>
    <row r="47" spans="2:6" hidden="1">
      <c r="B47" s="308"/>
      <c r="C47"/>
      <c r="D47"/>
      <c r="E47" s="358"/>
      <c r="F47" s="176">
        <f>Table156[[#This Row],[Cost]]*Table156[[#This Row],[Quantity]]</f>
        <v>0</v>
      </c>
    </row>
    <row r="48" spans="2:6" hidden="1">
      <c r="B48" s="308"/>
      <c r="C48"/>
      <c r="D48"/>
      <c r="E48" s="176"/>
      <c r="F48" s="176">
        <f>Table156[[#This Row],[Cost]]*Table156[[#This Row],[Quantity]]</f>
        <v>0</v>
      </c>
    </row>
    <row r="49" spans="2:6" hidden="1">
      <c r="B49" s="308"/>
      <c r="C49"/>
      <c r="D49"/>
      <c r="E49" s="176"/>
      <c r="F49" s="176">
        <f>Table156[[#This Row],[Cost]]*Table156[[#This Row],[Quantity]]</f>
        <v>0</v>
      </c>
    </row>
    <row r="50" spans="2:6" hidden="1">
      <c r="B50" s="308"/>
      <c r="C50"/>
      <c r="D50"/>
      <c r="E50" s="176"/>
      <c r="F50" s="176">
        <f>Table156[[#This Row],[Cost]]*Table156[[#This Row],[Quantity]]</f>
        <v>0</v>
      </c>
    </row>
    <row r="51" spans="2:6" hidden="1">
      <c r="B51" s="308"/>
      <c r="C51"/>
      <c r="D51"/>
      <c r="E51" s="176"/>
      <c r="F51" s="176">
        <f>Table156[[#This Row],[Cost]]*Table156[[#This Row],[Quantity]]</f>
        <v>0</v>
      </c>
    </row>
    <row r="52" spans="2:6" hidden="1">
      <c r="B52" s="308" t="s">
        <v>468</v>
      </c>
      <c r="C52"/>
      <c r="D52"/>
      <c r="E52"/>
      <c r="F52" s="177">
        <f>SUBTOTAL(109,Table156[Tot])</f>
        <v>0</v>
      </c>
    </row>
    <row r="53" spans="2:6" hidden="1"/>
    <row r="54" spans="2:6" hidden="1"/>
    <row r="55" spans="2:6" hidden="1">
      <c r="B55" s="223" t="s">
        <v>470</v>
      </c>
    </row>
    <row r="56" spans="2:6" hidden="1"/>
    <row r="57" spans="2:6" ht="15" hidden="1">
      <c r="B57" s="357" t="s">
        <v>5</v>
      </c>
      <c r="C57" s="357" t="s">
        <v>464</v>
      </c>
      <c r="D57" s="357" t="s">
        <v>465</v>
      </c>
      <c r="E57" s="357" t="s">
        <v>466</v>
      </c>
      <c r="F57" s="357" t="s">
        <v>467</v>
      </c>
    </row>
    <row r="58" spans="2:6" hidden="1">
      <c r="B58" s="308"/>
      <c r="C58"/>
      <c r="D58"/>
      <c r="E58" s="358"/>
      <c r="F58" s="176">
        <f>Table15660[[#This Row],[Cost]]*Table15660[[#This Row],[Quantity]]</f>
        <v>0</v>
      </c>
    </row>
    <row r="59" spans="2:6" hidden="1">
      <c r="B59" s="308"/>
      <c r="C59"/>
      <c r="D59"/>
      <c r="E59" s="176"/>
      <c r="F59" s="358">
        <f>Table15660[[#This Row],[Cost]]*Table15660[[#This Row],[Quantity]]</f>
        <v>0</v>
      </c>
    </row>
    <row r="60" spans="2:6" hidden="1">
      <c r="B60" s="308"/>
      <c r="C60"/>
      <c r="D60"/>
      <c r="E60" s="358"/>
      <c r="F60" s="176">
        <f>Table15660[[#This Row],[Cost]]*Table15660[[#This Row],[Quantity]]</f>
        <v>0</v>
      </c>
    </row>
    <row r="61" spans="2:6" hidden="1">
      <c r="B61" s="308"/>
      <c r="C61"/>
      <c r="D61"/>
      <c r="E61" s="358"/>
      <c r="F61" s="176">
        <f>Table15660[[#This Row],[Cost]]*Table15660[[#This Row],[Quantity]]</f>
        <v>0</v>
      </c>
    </row>
    <row r="62" spans="2:6" hidden="1">
      <c r="B62" s="308"/>
      <c r="C62"/>
      <c r="D62"/>
      <c r="E62" s="176"/>
      <c r="F62" s="176">
        <f>Table15660[[#This Row],[Cost]]*Table15660[[#This Row],[Quantity]]</f>
        <v>0</v>
      </c>
    </row>
    <row r="63" spans="2:6" hidden="1">
      <c r="B63" s="308" t="s">
        <v>468</v>
      </c>
      <c r="C63"/>
      <c r="D63"/>
      <c r="E63"/>
      <c r="F63" s="177">
        <f>SUBTOTAL(109,Table15660[Tot])</f>
        <v>0</v>
      </c>
    </row>
    <row r="66" spans="2:7">
      <c r="B66" s="223" t="s">
        <v>471</v>
      </c>
    </row>
    <row r="68" spans="2:7" s="77" customFormat="1" ht="30">
      <c r="B68" s="361" t="s">
        <v>454</v>
      </c>
      <c r="C68" s="361" t="s">
        <v>5</v>
      </c>
      <c r="D68" s="361" t="s">
        <v>472</v>
      </c>
      <c r="E68" s="362" t="s">
        <v>473</v>
      </c>
      <c r="F68" s="362" t="s">
        <v>474</v>
      </c>
      <c r="G68" s="362" t="s">
        <v>475</v>
      </c>
    </row>
    <row r="69" spans="2:7">
      <c r="B69" s="82" t="s">
        <v>460</v>
      </c>
      <c r="C69" s="308" t="s">
        <v>476</v>
      </c>
      <c r="D69" s="359">
        <f>Table1566073[[#This Row],[Current-Year Dollars]]/SUM(Table1566073[Current-Year Dollars])</f>
        <v>5.0664805823214303E-2</v>
      </c>
      <c r="E69" s="176">
        <v>4850000</v>
      </c>
      <c r="F69" s="358">
        <v>5000000</v>
      </c>
      <c r="G69" s="176">
        <f>ROUNDUP(Table1566073[[#This Row],[Project-Year Dollars 
(Assume 2026 NTP)]],-5)</f>
        <v>5000000</v>
      </c>
    </row>
    <row r="70" spans="2:7">
      <c r="B70" s="82" t="s">
        <v>460</v>
      </c>
      <c r="C70" s="308" t="s">
        <v>477</v>
      </c>
      <c r="D70" s="359">
        <f>Table1566073[[#This Row],[Current-Year Dollars]]/SUM(Table1566073[Current-Year Dollars])</f>
        <v>2.4413123960588005E-3</v>
      </c>
      <c r="E70" s="176">
        <v>233700</v>
      </c>
      <c r="F70" s="176">
        <v>243163.2558139535</v>
      </c>
      <c r="G70" s="358">
        <f>ROUNDUP(Table1566073[[#This Row],[Project-Year Dollars 
(Assume 2026 NTP)]],-5)</f>
        <v>300000</v>
      </c>
    </row>
    <row r="71" spans="2:7">
      <c r="B71" s="82" t="s">
        <v>460</v>
      </c>
      <c r="C71" s="308" t="s">
        <v>478</v>
      </c>
      <c r="D71" s="359">
        <f>Table1566073[[#This Row],[Current-Year Dollars]]/SUM(Table1566073[Current-Year Dollars])</f>
        <v>1.4238377389080637E-3</v>
      </c>
      <c r="E71" s="176">
        <v>136300</v>
      </c>
      <c r="F71" s="358">
        <v>141845.23255813954</v>
      </c>
      <c r="G71" s="176">
        <f>ROUNDUP(Table1566073[[#This Row],[Project-Year Dollars 
(Assume 2026 NTP)]],-5)</f>
        <v>200000</v>
      </c>
    </row>
    <row r="72" spans="2:7">
      <c r="B72" s="82" t="s">
        <v>460</v>
      </c>
      <c r="C72" s="308" t="s">
        <v>479</v>
      </c>
      <c r="D72" s="359">
        <f>Table1566073[[#This Row],[Current-Year Dollars]]/SUM(Table1566073[Current-Year Dollars])</f>
        <v>2.1362789259479018E-3</v>
      </c>
      <c r="E72" s="176">
        <v>204500</v>
      </c>
      <c r="F72" s="358">
        <v>212767.84883720931</v>
      </c>
      <c r="G72" s="176">
        <f>ROUNDUP(Table1566073[[#This Row],[Project-Year Dollars 
(Assume 2026 NTP)]],-5)</f>
        <v>300000</v>
      </c>
    </row>
    <row r="73" spans="2:7">
      <c r="B73" s="82" t="s">
        <v>460</v>
      </c>
      <c r="C73" s="308" t="s">
        <v>480</v>
      </c>
      <c r="D73" s="359">
        <f>Table1566073[[#This Row],[Current-Year Dollars]]/SUM(Table1566073[Current-Year Dollars])</f>
        <v>2.0370385846446988E-4</v>
      </c>
      <c r="E73" s="176">
        <v>19500</v>
      </c>
      <c r="F73" s="176">
        <v>20263.604651162794</v>
      </c>
      <c r="G73" s="176">
        <f>ROUNDUP(Table1566073[[#This Row],[Project-Year Dollars 
(Assume 2026 NTP)]],-5)</f>
        <v>100000</v>
      </c>
    </row>
    <row r="74" spans="2:7">
      <c r="B74" s="82" t="s">
        <v>461</v>
      </c>
      <c r="C74" s="82" t="s">
        <v>663</v>
      </c>
      <c r="D74" s="360">
        <f>Table1566073[[#This Row],[Current-Year Dollars]]/SUM(Table1566073[Current-Year Dollars])</f>
        <v>0.69990556498048617</v>
      </c>
      <c r="E74" s="94">
        <v>67000000</v>
      </c>
      <c r="F74" s="94">
        <v>69200000</v>
      </c>
      <c r="G74" s="176">
        <f>ROUNDUP(Table1566073[[#This Row],[Project-Year Dollars 
(Assume 2026 NTP)]],-5)</f>
        <v>69200000</v>
      </c>
    </row>
    <row r="75" spans="2:7">
      <c r="B75" s="82" t="s">
        <v>461</v>
      </c>
      <c r="C75" s="82" t="s">
        <v>481</v>
      </c>
      <c r="D75" s="360">
        <f>Table1566073[[#This Row],[Current-Year Dollars]]/SUM(Table1566073[Current-Year Dollars])</f>
        <v>6.5101663894901341E-3</v>
      </c>
      <c r="E75" s="94">
        <v>623200</v>
      </c>
      <c r="F75" s="94">
        <v>648435.3488372094</v>
      </c>
      <c r="G75" s="94">
        <f>ROUNDUP(Table1566073[[#This Row],[Project-Year Dollars 
(Assume 2026 NTP)]],-5)</f>
        <v>700000</v>
      </c>
    </row>
    <row r="76" spans="2:7">
      <c r="B76" s="82" t="s">
        <v>461</v>
      </c>
      <c r="C76" s="82" t="s">
        <v>482</v>
      </c>
      <c r="D76" s="360">
        <f>Table1566073[[#This Row],[Current-Year Dollars]]/SUM(Table1566073[Current-Year Dollars])</f>
        <v>2.0265922329285719E-2</v>
      </c>
      <c r="E76" s="94">
        <v>1940000</v>
      </c>
      <c r="F76" s="94">
        <v>2026360.4651162794</v>
      </c>
      <c r="G76" s="94">
        <f>ROUNDUP(Table1566073[[#This Row],[Project-Year Dollars 
(Assume 2026 NTP)]],-5)</f>
        <v>2100000</v>
      </c>
    </row>
    <row r="77" spans="2:7">
      <c r="B77" s="82" t="s">
        <v>461</v>
      </c>
      <c r="C77" s="82" t="s">
        <v>483</v>
      </c>
      <c r="D77" s="360">
        <f>Table1566073[[#This Row],[Current-Year Dollars]]/SUM(Table1566073[Current-Year Dollars])</f>
        <v>1.0185192923223493E-2</v>
      </c>
      <c r="E77" s="94">
        <v>975000</v>
      </c>
      <c r="F77" s="94">
        <v>1013180.2325581397</v>
      </c>
      <c r="G77" s="94">
        <f>ROUNDUP(Table1566073[[#This Row],[Project-Year Dollars 
(Assume 2026 NTP)]],-5)</f>
        <v>1100000</v>
      </c>
    </row>
    <row r="78" spans="2:7">
      <c r="B78" s="82" t="s">
        <v>461</v>
      </c>
      <c r="C78" s="82" t="s">
        <v>484</v>
      </c>
      <c r="D78" s="360">
        <f>Table1566073[[#This Row],[Current-Year Dollars]]/SUM(Table1566073[Current-Year Dollars])</f>
        <v>7.3124462012886624E-2</v>
      </c>
      <c r="E78" s="94">
        <v>7000000</v>
      </c>
      <c r="F78" s="94">
        <v>7250000</v>
      </c>
      <c r="G78" s="94">
        <f>ROUNDUP(Table1566073[[#This Row],[Project-Year Dollars 
(Assume 2026 NTP)]],-5)</f>
        <v>7300000</v>
      </c>
    </row>
    <row r="79" spans="2:7">
      <c r="B79" s="82" t="s">
        <v>461</v>
      </c>
      <c r="C79" s="82" t="s">
        <v>485</v>
      </c>
      <c r="D79" s="360">
        <f>Table1566073[[#This Row],[Current-Year Dollars]]/SUM(Table1566073[Current-Year Dollars])</f>
        <v>1.1177596336255527E-2</v>
      </c>
      <c r="E79" s="94">
        <v>1070000</v>
      </c>
      <c r="F79" s="94">
        <v>1114498.2558139535</v>
      </c>
      <c r="G79" s="94">
        <f>ROUNDUP(Table1566073[[#This Row],[Project-Year Dollars 
(Assume 2026 NTP)]],-5)</f>
        <v>1200000</v>
      </c>
    </row>
    <row r="80" spans="2:7">
      <c r="B80" s="82" t="s">
        <v>461</v>
      </c>
      <c r="C80" s="82" t="s">
        <v>486</v>
      </c>
      <c r="D80" s="360">
        <f>Table1566073[[#This Row],[Current-Year Dollars]]/SUM(Table1566073[Current-Year Dollars])</f>
        <v>1.2692317335093892E-2</v>
      </c>
      <c r="E80" s="94">
        <v>1215000</v>
      </c>
      <c r="F80" s="94">
        <v>1266475.2906976745</v>
      </c>
      <c r="G80" s="94">
        <f>ROUNDUP(Table1566073[[#This Row],[Project-Year Dollars 
(Assume 2026 NTP)]],-5)</f>
        <v>1300000</v>
      </c>
    </row>
    <row r="81" spans="2:7">
      <c r="B81" s="82" t="s">
        <v>461</v>
      </c>
      <c r="C81" s="82" t="s">
        <v>487</v>
      </c>
      <c r="D81" s="360">
        <f>Table1566073[[#This Row],[Current-Year Dollars]]/SUM(Table1566073[Current-Year Dollars])</f>
        <v>9.4017165445139939E-2</v>
      </c>
      <c r="E81" s="94">
        <v>9000000</v>
      </c>
      <c r="F81" s="94">
        <v>9500000</v>
      </c>
      <c r="G81" s="94">
        <f>ROUNDUP(Table1566073[[#This Row],[Project-Year Dollars 
(Assume 2026 NTP)]],-5)</f>
        <v>9500000</v>
      </c>
    </row>
    <row r="82" spans="2:7">
      <c r="B82" s="82" t="s">
        <v>462</v>
      </c>
      <c r="C82" s="82" t="s">
        <v>488</v>
      </c>
      <c r="D82" s="360">
        <f>Table1566073[[#This Row],[Current-Year Dollars]]/SUM(Table1566073[Current-Year Dollars])</f>
        <v>6.2991500848243757E-3</v>
      </c>
      <c r="E82" s="94">
        <v>603000</v>
      </c>
      <c r="F82" s="94">
        <v>628171.74418604665</v>
      </c>
      <c r="G82" s="94">
        <f>ROUNDUP(Table1566073[[#This Row],[Project-Year Dollars 
(Assume 2026 NTP)]],-5)</f>
        <v>700000</v>
      </c>
    </row>
    <row r="83" spans="2:7">
      <c r="B83" s="82" t="s">
        <v>462</v>
      </c>
      <c r="C83" s="82" t="s">
        <v>489</v>
      </c>
      <c r="D83" s="360">
        <f>Table1566073[[#This Row],[Current-Year Dollars]]/SUM(Table1566073[Current-Year Dollars])</f>
        <v>2.8414076667864514E-3</v>
      </c>
      <c r="E83" s="94">
        <v>272000</v>
      </c>
      <c r="F83" s="94">
        <v>283690.46511627908</v>
      </c>
      <c r="G83" s="94">
        <f>ROUNDUP(Table1566073[[#This Row],[Project-Year Dollars 
(Assume 2026 NTP)]],-5)</f>
        <v>300000</v>
      </c>
    </row>
    <row r="84" spans="2:7">
      <c r="B84" s="82" t="s">
        <v>462</v>
      </c>
      <c r="C84" s="82" t="s">
        <v>490</v>
      </c>
      <c r="D84" s="360">
        <f>Table1566073[[#This Row],[Current-Year Dollars]]/SUM(Table1566073[Current-Year Dollars])</f>
        <v>6.111115753934096E-3</v>
      </c>
      <c r="E84" s="94">
        <v>585000</v>
      </c>
      <c r="F84" s="94">
        <v>607908.13953488378</v>
      </c>
      <c r="G84" s="94">
        <f>ROUNDUP(Table1566073[[#This Row],[Project-Year Dollars 
(Assume 2026 NTP)]],-5)</f>
        <v>700000</v>
      </c>
    </row>
    <row r="85" spans="2:7">
      <c r="B85"/>
      <c r="C85" s="308" t="s">
        <v>491</v>
      </c>
      <c r="D85"/>
      <c r="E85" s="177">
        <f>SUM(Table1566073[Current-Year Dollars])</f>
        <v>95727200</v>
      </c>
      <c r="F85" s="177">
        <f>SUM(Table1566073[Project-Year Dollars 
(Assume 2026 NTP)])</f>
        <v>99156759.883720949</v>
      </c>
      <c r="G85" s="177">
        <f>SUBTOTAL(109,Table1566073[SAY 
(Final Estimate)])</f>
        <v>100000000</v>
      </c>
    </row>
  </sheetData>
  <mergeCells count="6">
    <mergeCell ref="B10:H10"/>
    <mergeCell ref="A1:H1"/>
    <mergeCell ref="B6:H6"/>
    <mergeCell ref="B7:H7"/>
    <mergeCell ref="B8:H8"/>
    <mergeCell ref="B9:H9"/>
  </mergeCells>
  <pageMargins left="0.7" right="0.7" top="0.75" bottom="0.75" header="0.3" footer="0.3"/>
  <pageSetup scale="50" orientation="portrait" r:id="rId1"/>
  <drawing r:id="rId2"/>
  <tableParts count="5">
    <tablePart r:id="rId3"/>
    <tablePart r:id="rId4"/>
    <tablePart r:id="rId5"/>
    <tablePart r:id="rId6"/>
    <tablePart r:id="rId7"/>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pageSetUpPr fitToPage="1"/>
  </sheetPr>
  <dimension ref="A1:K32"/>
  <sheetViews>
    <sheetView showGridLines="0" view="pageBreakPreview" zoomScale="60" zoomScaleNormal="100" workbookViewId="0">
      <selection activeCell="A3" sqref="A3:XFD3"/>
    </sheetView>
  </sheetViews>
  <sheetFormatPr defaultColWidth="9.140625" defaultRowHeight="12.75"/>
  <cols>
    <col min="1" max="1" width="21.85546875" style="61" customWidth="1"/>
    <col min="2" max="2" width="22.85546875" style="61" customWidth="1"/>
    <col min="3" max="3" width="11.28515625" style="61" customWidth="1"/>
    <col min="4" max="6" width="9.140625" style="61"/>
    <col min="7" max="7" width="19.140625" style="61" customWidth="1"/>
    <col min="8" max="8" width="9.140625" style="61"/>
    <col min="9" max="9" width="9.28515625" style="61" customWidth="1"/>
    <col min="10" max="16384" width="9.140625" style="61"/>
  </cols>
  <sheetData>
    <row r="1" spans="1:11" ht="15" customHeight="1">
      <c r="A1" s="505" t="s">
        <v>492</v>
      </c>
      <c r="B1" s="506"/>
      <c r="C1" s="506"/>
      <c r="D1" s="506"/>
      <c r="E1" s="506"/>
      <c r="F1" s="506"/>
      <c r="G1" s="506"/>
      <c r="H1" s="506"/>
      <c r="I1" s="506"/>
    </row>
    <row r="2" spans="1:11" ht="15" customHeight="1">
      <c r="A2" s="62" t="s">
        <v>1</v>
      </c>
      <c r="B2" s="71" t="str">
        <f>Project_Name</f>
        <v>Right-Sizing Route 37: Improving Community Connectivity</v>
      </c>
    </row>
    <row r="3" spans="1:11" ht="15" hidden="1" customHeight="1">
      <c r="A3" s="62" t="s">
        <v>2</v>
      </c>
      <c r="B3" s="71"/>
    </row>
    <row r="4" spans="1:11" ht="15" customHeight="1">
      <c r="A4" s="62" t="s">
        <v>3</v>
      </c>
      <c r="B4" s="72">
        <f>Date</f>
        <v>44985</v>
      </c>
    </row>
    <row r="5" spans="1:11" ht="26.25" customHeight="1"/>
    <row r="6" spans="1:11" ht="13.5" thickBot="1">
      <c r="A6" s="66"/>
      <c r="B6" s="66"/>
      <c r="C6" s="66"/>
      <c r="D6" s="66"/>
      <c r="E6" s="66"/>
      <c r="F6" s="66"/>
      <c r="G6" s="66"/>
      <c r="H6" s="66"/>
      <c r="I6" s="66"/>
    </row>
    <row r="7" spans="1:11" ht="30" customHeight="1" thickBot="1">
      <c r="A7" s="102" t="s">
        <v>103</v>
      </c>
      <c r="B7" s="430" t="s">
        <v>493</v>
      </c>
      <c r="C7" s="431"/>
      <c r="D7" s="431"/>
      <c r="E7" s="431"/>
      <c r="F7" s="431"/>
      <c r="G7" s="431"/>
      <c r="H7" s="431"/>
      <c r="I7" s="432"/>
    </row>
    <row r="8" spans="1:11" ht="97.5" customHeight="1" thickBot="1">
      <c r="A8" s="102" t="s">
        <v>105</v>
      </c>
      <c r="B8" s="430" t="s">
        <v>494</v>
      </c>
      <c r="C8" s="431"/>
      <c r="D8" s="431"/>
      <c r="E8" s="431"/>
      <c r="F8" s="431"/>
      <c r="G8" s="431"/>
      <c r="H8" s="431"/>
      <c r="I8" s="432"/>
    </row>
    <row r="9" spans="1:11" ht="30" customHeight="1" thickBot="1">
      <c r="A9" s="102" t="s">
        <v>107</v>
      </c>
      <c r="B9" s="430" t="s">
        <v>495</v>
      </c>
      <c r="C9" s="431"/>
      <c r="D9" s="431"/>
      <c r="E9" s="431"/>
      <c r="F9" s="431"/>
      <c r="G9" s="431"/>
      <c r="H9" s="431"/>
      <c r="I9" s="432"/>
    </row>
    <row r="10" spans="1:11" ht="30" customHeight="1" thickBot="1">
      <c r="A10" s="102" t="s">
        <v>109</v>
      </c>
      <c r="B10" s="430" t="s">
        <v>496</v>
      </c>
      <c r="C10" s="431"/>
      <c r="D10" s="431"/>
      <c r="E10" s="431"/>
      <c r="F10" s="431"/>
      <c r="G10" s="431"/>
      <c r="H10" s="431"/>
      <c r="I10" s="432"/>
    </row>
    <row r="11" spans="1:11" ht="54.75" customHeight="1" thickBot="1">
      <c r="A11" s="102" t="s">
        <v>111</v>
      </c>
      <c r="B11" s="430" t="s">
        <v>497</v>
      </c>
      <c r="C11" s="431"/>
      <c r="D11" s="431"/>
      <c r="E11" s="431"/>
      <c r="F11" s="431"/>
      <c r="G11" s="431"/>
      <c r="H11" s="431"/>
      <c r="I11" s="432"/>
      <c r="K11" s="353"/>
    </row>
    <row r="12" spans="1:11" ht="30" customHeight="1" thickBot="1">
      <c r="A12" s="285"/>
      <c r="B12" s="257"/>
      <c r="C12" s="257"/>
      <c r="D12" s="257"/>
      <c r="E12" s="257"/>
      <c r="F12" s="257"/>
      <c r="G12" s="257"/>
      <c r="H12" s="257"/>
      <c r="I12" s="257"/>
    </row>
    <row r="13" spans="1:11" ht="13.5" thickBot="1">
      <c r="A13" s="104"/>
      <c r="B13" s="104"/>
      <c r="C13" s="104"/>
      <c r="D13" s="104"/>
      <c r="E13" s="104"/>
      <c r="F13" s="104"/>
      <c r="G13" s="104"/>
      <c r="H13" s="104"/>
      <c r="I13" s="104"/>
    </row>
    <row r="14" spans="1:11">
      <c r="A14" s="510" t="s">
        <v>498</v>
      </c>
      <c r="B14" s="510"/>
      <c r="C14" s="510"/>
      <c r="D14" s="510"/>
      <c r="E14" s="510"/>
      <c r="F14" s="510"/>
      <c r="G14" s="510"/>
    </row>
    <row r="15" spans="1:11">
      <c r="B15" s="62" t="s">
        <v>301</v>
      </c>
      <c r="C15" s="205">
        <f>Table3B.3_27TTS_NB[[#Totals],[Total Vehicles in Network]]</f>
        <v>59252</v>
      </c>
      <c r="D15" s="61" t="s">
        <v>302</v>
      </c>
    </row>
    <row r="16" spans="1:11">
      <c r="B16" s="62" t="s">
        <v>303</v>
      </c>
      <c r="C16" s="344">
        <v>0.98</v>
      </c>
    </row>
    <row r="17" spans="1:7">
      <c r="B17" s="62" t="s">
        <v>305</v>
      </c>
      <c r="C17" s="344">
        <v>0.02</v>
      </c>
    </row>
    <row r="18" spans="1:7">
      <c r="B18" s="62" t="s">
        <v>306</v>
      </c>
      <c r="C18" s="75">
        <f>All_Purpose_Travel</f>
        <v>18.8</v>
      </c>
      <c r="D18" s="61" t="s">
        <v>307</v>
      </c>
    </row>
    <row r="19" spans="1:7">
      <c r="B19" s="62" t="s">
        <v>308</v>
      </c>
      <c r="C19" s="75">
        <f>Truck_Travel</f>
        <v>32.4</v>
      </c>
      <c r="D19" s="61" t="s">
        <v>307</v>
      </c>
    </row>
    <row r="20" spans="1:7">
      <c r="B20" s="62" t="s">
        <v>309</v>
      </c>
      <c r="C20" s="221">
        <f>AVERAGE(Table3B.3_27TTS_NB[Average Delay (hr/veh)])*2</f>
        <v>1.2455352816957499E-2</v>
      </c>
      <c r="D20" s="61" t="s">
        <v>310</v>
      </c>
    </row>
    <row r="21" spans="1:7" ht="13.5" thickBot="1">
      <c r="B21" s="62" t="s">
        <v>311</v>
      </c>
      <c r="C21" s="337">
        <f>60</f>
        <v>60</v>
      </c>
      <c r="D21" s="61" t="s">
        <v>312</v>
      </c>
    </row>
    <row r="22" spans="1:7">
      <c r="B22" s="340"/>
      <c r="C22" s="341"/>
      <c r="D22" s="341"/>
      <c r="E22" s="341"/>
      <c r="F22" s="342" t="s">
        <v>499</v>
      </c>
      <c r="G22" s="343">
        <f>(C18*(C16*C15)+C19*(C17*C15))*C20*C21</f>
        <v>844513.38394709374</v>
      </c>
    </row>
    <row r="23" spans="1:7" ht="13.5" thickBot="1">
      <c r="B23" s="507" t="s">
        <v>500</v>
      </c>
      <c r="C23" s="508"/>
      <c r="D23" s="508"/>
      <c r="E23" s="508"/>
      <c r="F23" s="508"/>
      <c r="G23" s="509"/>
    </row>
    <row r="24" spans="1:7" ht="13.5" thickBot="1"/>
    <row r="25" spans="1:7">
      <c r="A25" s="73" t="s">
        <v>501</v>
      </c>
      <c r="B25" s="74"/>
      <c r="C25" s="74"/>
      <c r="D25" s="74"/>
    </row>
    <row r="26" spans="1:7">
      <c r="A26" s="63" t="s">
        <v>19</v>
      </c>
      <c r="B26" s="63" t="s">
        <v>466</v>
      </c>
    </row>
    <row r="27" spans="1:7">
      <c r="A27" s="61">
        <v>2022</v>
      </c>
      <c r="B27" s="68"/>
    </row>
    <row r="28" spans="1:7">
      <c r="A28" s="61">
        <v>2023</v>
      </c>
      <c r="B28" s="68"/>
    </row>
    <row r="29" spans="1:7">
      <c r="A29" s="61">
        <v>2024</v>
      </c>
      <c r="B29" s="68"/>
    </row>
    <row r="30" spans="1:7">
      <c r="A30" s="61">
        <v>2025</v>
      </c>
      <c r="B30" s="68"/>
    </row>
    <row r="31" spans="1:7">
      <c r="A31" s="61">
        <v>2026</v>
      </c>
      <c r="B31" s="68">
        <f>G22/2</f>
        <v>422256.69197354687</v>
      </c>
    </row>
    <row r="32" spans="1:7">
      <c r="A32" s="61">
        <v>2027</v>
      </c>
      <c r="B32" s="68">
        <f>G22/2</f>
        <v>422256.69197354687</v>
      </c>
    </row>
  </sheetData>
  <mergeCells count="8">
    <mergeCell ref="A1:I1"/>
    <mergeCell ref="B23:G23"/>
    <mergeCell ref="A14:G14"/>
    <mergeCell ref="B7:I7"/>
    <mergeCell ref="B8:I8"/>
    <mergeCell ref="B9:I9"/>
    <mergeCell ref="B10:I10"/>
    <mergeCell ref="B11:I11"/>
  </mergeCells>
  <pageMargins left="0.7" right="0.7" top="0.75" bottom="0.75" header="0.3" footer="0.3"/>
  <pageSetup scale="70"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A68A-6720-4C27-BF00-4A1DF8AE3FAC}">
  <sheetPr>
    <tabColor rgb="FFFF0000"/>
    <pageSetUpPr fitToPage="1"/>
  </sheetPr>
  <dimension ref="A1:I46"/>
  <sheetViews>
    <sheetView showGridLines="0" view="pageBreakPreview" zoomScale="85" zoomScaleNormal="115" zoomScaleSheetLayoutView="85" workbookViewId="0">
      <selection activeCell="A3" sqref="A3:XFD3"/>
    </sheetView>
  </sheetViews>
  <sheetFormatPr defaultColWidth="9.140625" defaultRowHeight="12.75"/>
  <cols>
    <col min="1" max="1" width="21.7109375" style="76" customWidth="1"/>
    <col min="2" max="2" width="15.7109375" style="61" customWidth="1"/>
    <col min="3" max="3" width="31.140625" style="61" customWidth="1"/>
    <col min="4" max="4" width="23" style="61" customWidth="1"/>
    <col min="5" max="5" width="19.28515625" style="61" customWidth="1"/>
    <col min="6" max="6" width="15.7109375" style="61" customWidth="1"/>
    <col min="7" max="7" width="20.140625" style="61" bestFit="1" customWidth="1"/>
    <col min="8" max="8" width="5" style="61" customWidth="1"/>
    <col min="9" max="9" width="3.140625" style="61" customWidth="1"/>
    <col min="10" max="10" width="1.5703125" style="61" customWidth="1"/>
    <col min="11" max="16384" width="9.140625" style="61"/>
  </cols>
  <sheetData>
    <row r="1" spans="1:9" ht="15" customHeight="1">
      <c r="A1" s="505" t="s">
        <v>502</v>
      </c>
      <c r="B1" s="506"/>
      <c r="C1" s="506"/>
      <c r="D1" s="506"/>
      <c r="E1" s="506"/>
      <c r="F1" s="506"/>
      <c r="G1" s="506"/>
      <c r="H1" s="506"/>
      <c r="I1" s="506"/>
    </row>
    <row r="2" spans="1:9" ht="15" customHeight="1">
      <c r="A2" s="87" t="s">
        <v>1</v>
      </c>
      <c r="B2" s="71" t="str">
        <f>Project_Name</f>
        <v>Right-Sizing Route 37: Improving Community Connectivity</v>
      </c>
      <c r="C2" s="82"/>
      <c r="D2" s="82"/>
      <c r="E2" s="82"/>
      <c r="F2" s="82"/>
      <c r="G2" s="82"/>
      <c r="H2" s="82"/>
      <c r="I2" s="82"/>
    </row>
    <row r="3" spans="1:9" ht="15" hidden="1" customHeight="1">
      <c r="A3" s="87" t="s">
        <v>2</v>
      </c>
      <c r="B3" s="71"/>
      <c r="C3" s="82"/>
      <c r="D3" s="82"/>
      <c r="E3" s="82"/>
      <c r="F3" s="82"/>
      <c r="G3" s="82"/>
      <c r="H3" s="82"/>
      <c r="I3" s="82"/>
    </row>
    <row r="4" spans="1:9" ht="15" customHeight="1">
      <c r="A4" s="87" t="s">
        <v>3</v>
      </c>
      <c r="B4" s="511">
        <f>Date</f>
        <v>44985</v>
      </c>
      <c r="C4" s="511"/>
      <c r="D4" s="82"/>
      <c r="E4" s="82"/>
      <c r="F4" s="82"/>
      <c r="G4" s="82"/>
      <c r="H4" s="82"/>
      <c r="I4" s="82"/>
    </row>
    <row r="5" spans="1:9" ht="30" customHeight="1">
      <c r="A5" s="82"/>
      <c r="B5" s="82"/>
      <c r="C5" s="82"/>
      <c r="D5" s="82"/>
      <c r="E5" s="82"/>
      <c r="F5" s="82"/>
      <c r="G5" s="82"/>
      <c r="H5" s="82"/>
      <c r="I5" s="82"/>
    </row>
    <row r="6" spans="1:9" ht="13.5" thickBot="1">
      <c r="A6" s="82"/>
      <c r="B6" s="82"/>
      <c r="C6" s="82"/>
      <c r="D6" s="82"/>
      <c r="E6" s="82"/>
      <c r="F6" s="82"/>
      <c r="G6" s="82"/>
      <c r="H6" s="82"/>
      <c r="I6" s="82"/>
    </row>
    <row r="7" spans="1:9" ht="30" customHeight="1" thickBot="1">
      <c r="A7" s="102" t="s">
        <v>103</v>
      </c>
      <c r="B7" s="430" t="s">
        <v>503</v>
      </c>
      <c r="C7" s="431"/>
      <c r="D7" s="431"/>
      <c r="E7" s="431"/>
      <c r="F7" s="431"/>
      <c r="G7" s="431"/>
      <c r="H7" s="431"/>
      <c r="I7" s="432"/>
    </row>
    <row r="8" spans="1:9" ht="30" customHeight="1" thickBot="1">
      <c r="A8" s="102" t="s">
        <v>105</v>
      </c>
      <c r="B8" s="430" t="s">
        <v>662</v>
      </c>
      <c r="C8" s="431"/>
      <c r="D8" s="431"/>
      <c r="E8" s="431"/>
      <c r="F8" s="431"/>
      <c r="G8" s="431"/>
      <c r="H8" s="431"/>
      <c r="I8" s="432"/>
    </row>
    <row r="9" spans="1:9" ht="30" customHeight="1" thickBot="1">
      <c r="A9" s="102" t="s">
        <v>107</v>
      </c>
      <c r="B9" s="430" t="s">
        <v>504</v>
      </c>
      <c r="C9" s="431"/>
      <c r="D9" s="431"/>
      <c r="E9" s="431"/>
      <c r="F9" s="431"/>
      <c r="G9" s="431"/>
      <c r="H9" s="431"/>
      <c r="I9" s="432"/>
    </row>
    <row r="10" spans="1:9" ht="30" customHeight="1" thickBot="1">
      <c r="A10" s="102" t="s">
        <v>109</v>
      </c>
      <c r="B10" s="430" t="s">
        <v>280</v>
      </c>
      <c r="C10" s="431"/>
      <c r="D10" s="431"/>
      <c r="E10" s="431"/>
      <c r="F10" s="431"/>
      <c r="G10" s="431"/>
      <c r="H10" s="431"/>
      <c r="I10" s="432"/>
    </row>
    <row r="11" spans="1:9" ht="30" customHeight="1" thickBot="1">
      <c r="A11" s="102" t="s">
        <v>111</v>
      </c>
      <c r="B11" s="430" t="s">
        <v>505</v>
      </c>
      <c r="C11" s="431"/>
      <c r="D11" s="431"/>
      <c r="E11" s="431"/>
      <c r="F11" s="431"/>
      <c r="G11" s="431"/>
      <c r="H11" s="431"/>
      <c r="I11" s="432"/>
    </row>
    <row r="12" spans="1:9">
      <c r="A12" s="103"/>
      <c r="B12" s="104"/>
      <c r="C12" s="104"/>
      <c r="D12" s="104"/>
      <c r="E12" s="104"/>
    </row>
    <row r="14" spans="1:9">
      <c r="B14" s="63" t="s">
        <v>506</v>
      </c>
    </row>
    <row r="16" spans="1:9" ht="38.25">
      <c r="B16" s="123" t="s">
        <v>507</v>
      </c>
      <c r="C16" s="123" t="s">
        <v>508</v>
      </c>
      <c r="D16" s="123" t="s">
        <v>509</v>
      </c>
      <c r="E16" s="123" t="s">
        <v>286</v>
      </c>
      <c r="F16" s="123" t="s">
        <v>510</v>
      </c>
      <c r="G16" s="123" t="s">
        <v>511</v>
      </c>
    </row>
    <row r="17" spans="2:7">
      <c r="B17" s="363">
        <v>624</v>
      </c>
      <c r="C17" s="123" t="s">
        <v>512</v>
      </c>
      <c r="D17" s="125">
        <v>1</v>
      </c>
      <c r="E17" s="318">
        <v>1</v>
      </c>
      <c r="F17" s="125">
        <v>2097900</v>
      </c>
      <c r="G17" s="224">
        <f>Table5080[[#This Row],[30 Year Maintenance Cost]]*Table5080[[#This Row],[Iterations]]</f>
        <v>2097900</v>
      </c>
    </row>
    <row r="18" spans="2:7">
      <c r="B18" s="363">
        <v>623</v>
      </c>
      <c r="C18" s="123" t="s">
        <v>512</v>
      </c>
      <c r="D18" s="125">
        <v>1</v>
      </c>
      <c r="E18" s="318">
        <v>1</v>
      </c>
      <c r="F18" s="125">
        <v>1700900</v>
      </c>
      <c r="G18" s="224">
        <f>Table5080[[#This Row],[30 Year Maintenance Cost]]*Table5080[[#This Row],[Iterations]]</f>
        <v>1700900</v>
      </c>
    </row>
    <row r="19" spans="2:7">
      <c r="B19" s="363">
        <v>636</v>
      </c>
      <c r="C19" s="123" t="s">
        <v>512</v>
      </c>
      <c r="D19" s="125">
        <v>1</v>
      </c>
      <c r="E19" s="318">
        <v>1</v>
      </c>
      <c r="F19" s="125">
        <v>1337400</v>
      </c>
      <c r="G19" s="224">
        <f>Table5080[[#This Row],[30 Year Maintenance Cost]]*Table5080[[#This Row],[Iterations]]</f>
        <v>1337400</v>
      </c>
    </row>
    <row r="20" spans="2:7">
      <c r="B20" s="123">
        <v>637</v>
      </c>
      <c r="C20" s="123" t="s">
        <v>512</v>
      </c>
      <c r="D20" s="125">
        <v>1</v>
      </c>
      <c r="E20" s="318">
        <v>1</v>
      </c>
      <c r="F20" s="125">
        <v>1387900</v>
      </c>
      <c r="G20" s="224">
        <f>Table5080[[#This Row],[30 Year Maintenance Cost]]*Table5080[[#This Row],[Iterations]]</f>
        <v>1387900</v>
      </c>
    </row>
    <row r="21" spans="2:7">
      <c r="B21" s="123">
        <v>816</v>
      </c>
      <c r="C21" s="123" t="s">
        <v>512</v>
      </c>
      <c r="D21" s="125">
        <v>1</v>
      </c>
      <c r="E21" s="318">
        <v>1</v>
      </c>
      <c r="F21" s="125">
        <v>110000</v>
      </c>
      <c r="G21" s="224">
        <f>Table5080[[#This Row],[30 Year Maintenance Cost]]*Table5080[[#This Row],[Iterations]]</f>
        <v>110000</v>
      </c>
    </row>
    <row r="22" spans="2:7">
      <c r="B22" s="123">
        <v>616</v>
      </c>
      <c r="C22" s="123" t="s">
        <v>512</v>
      </c>
      <c r="D22" s="125">
        <v>1</v>
      </c>
      <c r="E22" s="318">
        <v>1</v>
      </c>
      <c r="F22" s="125">
        <v>767500</v>
      </c>
      <c r="G22" s="224">
        <f>Table5080[[#This Row],[30 Year Maintenance Cost]]*Table5080[[#This Row],[Iterations]]</f>
        <v>767500</v>
      </c>
    </row>
    <row r="23" spans="2:7">
      <c r="B23" s="123"/>
      <c r="C23" s="123"/>
      <c r="D23" s="125"/>
      <c r="E23" s="318"/>
      <c r="F23" s="125"/>
      <c r="G23" s="224">
        <f>Table5080[[#This Row],[30 Year Maintenance Cost]]*Table5080[[#This Row],[Iterations]]</f>
        <v>0</v>
      </c>
    </row>
    <row r="24" spans="2:7">
      <c r="B24" s="123"/>
      <c r="C24" s="123"/>
      <c r="D24" s="125"/>
      <c r="E24" s="318"/>
      <c r="F24" s="125"/>
      <c r="G24" s="224">
        <f>Table5080[[#This Row],[30 Year Maintenance Cost]]*Table5080[[#This Row],[Iterations]]</f>
        <v>0</v>
      </c>
    </row>
    <row r="25" spans="2:7">
      <c r="B25" s="123"/>
      <c r="C25" s="123"/>
      <c r="D25" s="125"/>
      <c r="E25" s="318"/>
      <c r="F25" s="125"/>
      <c r="G25" s="224">
        <f>Table5080[[#This Row],[30 Year Maintenance Cost]]*Table5080[[#This Row],[Iterations]]</f>
        <v>0</v>
      </c>
    </row>
    <row r="26" spans="2:7">
      <c r="B26" s="123"/>
      <c r="C26" s="123"/>
      <c r="D26" s="125"/>
      <c r="E26" s="318"/>
      <c r="F26" s="125"/>
      <c r="G26" s="224">
        <f>Table5080[[#This Row],[30 Year Maintenance Cost]]*Table5080[[#This Row],[Iterations]]</f>
        <v>0</v>
      </c>
    </row>
    <row r="27" spans="2:7">
      <c r="B27" s="123"/>
      <c r="C27" s="123"/>
      <c r="D27" s="125"/>
      <c r="E27" s="318"/>
      <c r="F27" s="125"/>
      <c r="G27" s="224">
        <f>Table5080[[#This Row],[30 Year Maintenance Cost]]*Table5080[[#This Row],[Iterations]]</f>
        <v>0</v>
      </c>
    </row>
    <row r="28" spans="2:7">
      <c r="B28" s="123"/>
      <c r="C28" s="123"/>
      <c r="D28" s="125"/>
      <c r="E28" s="318"/>
      <c r="F28" s="125"/>
      <c r="G28" s="224">
        <f>Table5080[[#This Row],[30 Year Maintenance Cost]]*Table5080[[#This Row],[Iterations]]</f>
        <v>0</v>
      </c>
    </row>
    <row r="29" spans="2:7">
      <c r="B29" s="123" t="s">
        <v>26</v>
      </c>
      <c r="C29" s="123"/>
      <c r="D29" s="123"/>
      <c r="E29" s="128"/>
      <c r="F29" s="128"/>
      <c r="G29" s="286">
        <f>SUBTOTAL(109,Table5080[30-Year Cost 
($)])</f>
        <v>7401600</v>
      </c>
    </row>
    <row r="31" spans="2:7">
      <c r="B31" s="63" t="s">
        <v>513</v>
      </c>
    </row>
    <row r="33" spans="2:7">
      <c r="B33" s="61" t="s">
        <v>507</v>
      </c>
      <c r="C33" s="61" t="s">
        <v>514</v>
      </c>
      <c r="D33" s="61" t="s">
        <v>515</v>
      </c>
      <c r="E33" s="61" t="s">
        <v>516</v>
      </c>
      <c r="F33" s="61" t="s">
        <v>286</v>
      </c>
      <c r="G33" s="61" t="s">
        <v>287</v>
      </c>
    </row>
    <row r="34" spans="2:7">
      <c r="B34" s="363"/>
      <c r="C34" s="61" t="s">
        <v>517</v>
      </c>
      <c r="D34" s="387">
        <v>25000</v>
      </c>
      <c r="E34" s="94">
        <v>30</v>
      </c>
      <c r="F34" s="61">
        <v>3</v>
      </c>
      <c r="G34" s="94">
        <f>Table7281[[#This Row],[Iterations]]*Table7281[[#This Row],[Unit Cost/EA/SY]]*Table7281[[#This Row],[Units/Square Yard/Each]]</f>
        <v>2250000</v>
      </c>
    </row>
    <row r="35" spans="2:7">
      <c r="B35" s="363"/>
      <c r="E35" s="94"/>
      <c r="G35" s="94">
        <f>Table7281[[#This Row],[Iterations]]*Table7281[[#This Row],[Unit Cost/EA/SY]]*Table7281[[#This Row],[Units/Square Yard/Each]]</f>
        <v>0</v>
      </c>
    </row>
    <row r="36" spans="2:7">
      <c r="B36" s="363"/>
      <c r="E36" s="94"/>
      <c r="G36" s="94">
        <f>Table7281[[#This Row],[Iterations]]*Table7281[[#This Row],[Unit Cost/EA/SY]]*Table7281[[#This Row],[Units/Square Yard/Each]]</f>
        <v>0</v>
      </c>
    </row>
    <row r="37" spans="2:7">
      <c r="B37" s="63" t="s">
        <v>289</v>
      </c>
      <c r="C37" s="63"/>
      <c r="D37" s="63"/>
      <c r="E37" s="319"/>
      <c r="F37" s="63"/>
      <c r="G37" s="319">
        <f>SUM(G34:G36)</f>
        <v>2250000</v>
      </c>
    </row>
    <row r="38" spans="2:7">
      <c r="B38" s="61" t="s">
        <v>290</v>
      </c>
      <c r="E38" s="94"/>
      <c r="G38" s="94">
        <f>G37*0.3</f>
        <v>675000</v>
      </c>
    </row>
    <row r="39" spans="2:7">
      <c r="B39" s="63" t="s">
        <v>518</v>
      </c>
      <c r="C39" s="63"/>
      <c r="D39" s="63"/>
      <c r="E39" s="319"/>
      <c r="F39" s="63"/>
      <c r="G39" s="319">
        <f>SUM(G37:G38)</f>
        <v>2925000</v>
      </c>
    </row>
    <row r="41" spans="2:7">
      <c r="B41" s="63" t="s">
        <v>519</v>
      </c>
    </row>
    <row r="43" spans="2:7">
      <c r="C43" s="81" t="s">
        <v>5</v>
      </c>
      <c r="D43" s="81" t="s">
        <v>520</v>
      </c>
      <c r="E43" s="81" t="s">
        <v>521</v>
      </c>
    </row>
    <row r="44" spans="2:7" ht="25.5">
      <c r="C44" s="81" t="s">
        <v>522</v>
      </c>
      <c r="D44" s="81" t="s">
        <v>523</v>
      </c>
      <c r="E44" s="127">
        <f>Table5080[[#Totals],[30-Year Cost 
($)]]</f>
        <v>7401600</v>
      </c>
    </row>
    <row r="45" spans="2:7" ht="25.5">
      <c r="C45" s="81" t="s">
        <v>524</v>
      </c>
      <c r="D45" s="81" t="s">
        <v>523</v>
      </c>
      <c r="E45" s="127">
        <f>G39</f>
        <v>2925000</v>
      </c>
    </row>
    <row r="46" spans="2:7">
      <c r="C46" s="81" t="s">
        <v>26</v>
      </c>
      <c r="D46" s="81"/>
      <c r="E46" s="127">
        <f>SUBTOTAL(109,Table7382[Cost Over 30 Years])</f>
        <v>10326600</v>
      </c>
    </row>
  </sheetData>
  <mergeCells count="7">
    <mergeCell ref="B11:I11"/>
    <mergeCell ref="A1:I1"/>
    <mergeCell ref="B7:I7"/>
    <mergeCell ref="B8:I8"/>
    <mergeCell ref="B9:I9"/>
    <mergeCell ref="B10:I10"/>
    <mergeCell ref="B4:C4"/>
  </mergeCells>
  <pageMargins left="0.7" right="0.7" top="0.75" bottom="0.75" header="0.3" footer="0.3"/>
  <pageSetup scale="59" fitToHeight="2" orientation="portrait" r:id="rId1"/>
  <rowBreaks count="1" manualBreakCount="1">
    <brk id="29" max="16383" man="1"/>
  </rowBreaks>
  <drawing r:id="rId2"/>
  <tableParts count="3">
    <tablePart r:id="rId3"/>
    <tablePart r:id="rId4"/>
    <tablePart r:id="rId5"/>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81120-4CAF-4B18-8178-CD4F43BD4451}">
  <sheetPr>
    <tabColor theme="1"/>
    <pageSetUpPr fitToPage="1"/>
  </sheetPr>
  <dimension ref="A1:I121"/>
  <sheetViews>
    <sheetView showGridLines="0" view="pageBreakPreview" zoomScale="60" zoomScaleNormal="85" workbookViewId="0">
      <selection activeCell="A3" sqref="A3:XFD3"/>
    </sheetView>
  </sheetViews>
  <sheetFormatPr defaultColWidth="9.140625" defaultRowHeight="12.75"/>
  <cols>
    <col min="1" max="1" width="21.7109375" style="61" customWidth="1"/>
    <col min="2" max="2" width="46" style="61" customWidth="1"/>
    <col min="3" max="3" width="45.28515625" style="61" customWidth="1"/>
    <col min="4" max="4" width="11.28515625" style="61" customWidth="1"/>
    <col min="5" max="5" width="37.42578125" style="61" customWidth="1"/>
    <col min="6" max="6" width="19" style="61" customWidth="1"/>
    <col min="7" max="7" width="26.140625" style="61" customWidth="1"/>
    <col min="8" max="8" width="14.85546875" style="61" customWidth="1"/>
    <col min="9" max="9" width="21.7109375" style="61" customWidth="1"/>
    <col min="10" max="16384" width="9.140625" style="61"/>
  </cols>
  <sheetData>
    <row r="1" spans="1:9">
      <c r="A1" s="512" t="s">
        <v>525</v>
      </c>
      <c r="B1" s="512"/>
      <c r="C1" s="512"/>
      <c r="D1" s="512"/>
      <c r="E1" s="512"/>
      <c r="F1" s="512"/>
      <c r="G1" s="512"/>
      <c r="H1" s="512"/>
      <c r="I1" s="512"/>
    </row>
    <row r="2" spans="1:9">
      <c r="A2" s="62" t="s">
        <v>1</v>
      </c>
      <c r="B2" s="63" t="str">
        <f>Project_Name</f>
        <v>Right-Sizing Route 37: Improving Community Connectivity</v>
      </c>
    </row>
    <row r="3" spans="1:9" hidden="1">
      <c r="A3" s="62" t="s">
        <v>2</v>
      </c>
      <c r="B3" s="63"/>
    </row>
    <row r="4" spans="1:9">
      <c r="A4" s="62" t="s">
        <v>3</v>
      </c>
      <c r="B4" s="64">
        <f>Date</f>
        <v>44985</v>
      </c>
    </row>
    <row r="5" spans="1:9" ht="35.1" customHeight="1">
      <c r="A5" s="62"/>
      <c r="B5" s="65"/>
    </row>
    <row r="6" spans="1:9" ht="13.5" thickBot="1">
      <c r="A6" s="62"/>
      <c r="B6" s="65"/>
    </row>
    <row r="7" spans="1:9">
      <c r="A7" s="436" t="s">
        <v>526</v>
      </c>
      <c r="B7" s="437"/>
      <c r="C7" s="437"/>
      <c r="D7" s="437"/>
      <c r="E7" s="437"/>
      <c r="F7" s="437"/>
      <c r="G7" s="437"/>
      <c r="H7" s="437"/>
      <c r="I7" s="438"/>
    </row>
    <row r="8" spans="1:9" ht="50.1" customHeight="1">
      <c r="A8" s="439"/>
      <c r="B8" s="440"/>
      <c r="C8" s="440"/>
      <c r="D8" s="440"/>
      <c r="E8" s="440"/>
      <c r="F8" s="440"/>
      <c r="G8" s="440"/>
      <c r="H8" s="440"/>
      <c r="I8" s="441"/>
    </row>
    <row r="9" spans="1:9">
      <c r="A9" s="439"/>
      <c r="B9" s="440"/>
      <c r="C9" s="440"/>
      <c r="D9" s="440"/>
      <c r="E9" s="440"/>
      <c r="F9" s="440"/>
      <c r="G9" s="440"/>
      <c r="H9" s="440"/>
      <c r="I9" s="441"/>
    </row>
    <row r="10" spans="1:9">
      <c r="A10" s="439"/>
      <c r="B10" s="440"/>
      <c r="C10" s="440"/>
      <c r="D10" s="440"/>
      <c r="E10" s="440"/>
      <c r="F10" s="440"/>
      <c r="G10" s="440"/>
      <c r="H10" s="440"/>
      <c r="I10" s="441"/>
    </row>
    <row r="11" spans="1:9" ht="13.5" thickBot="1">
      <c r="A11" s="442"/>
      <c r="B11" s="443"/>
      <c r="C11" s="443"/>
      <c r="D11" s="443"/>
      <c r="E11" s="443"/>
      <c r="F11" s="443"/>
      <c r="G11" s="443"/>
      <c r="H11" s="443"/>
      <c r="I11" s="444"/>
    </row>
    <row r="13" spans="1:9" ht="15">
      <c r="B13" s="114" t="s">
        <v>527</v>
      </c>
      <c r="E13" s="114" t="s">
        <v>528</v>
      </c>
    </row>
    <row r="15" spans="1:9">
      <c r="B15" s="61" t="s">
        <v>529</v>
      </c>
      <c r="C15" s="61" t="s">
        <v>530</v>
      </c>
      <c r="E15" s="61" t="s">
        <v>19</v>
      </c>
      <c r="F15" s="61" t="s">
        <v>130</v>
      </c>
      <c r="G15" s="61" t="s">
        <v>122</v>
      </c>
      <c r="H15" s="61" t="s">
        <v>131</v>
      </c>
      <c r="I15" s="61" t="s">
        <v>132</v>
      </c>
    </row>
    <row r="16" spans="1:9">
      <c r="B16" s="61" t="s">
        <v>77</v>
      </c>
      <c r="C16" s="94">
        <v>4000</v>
      </c>
      <c r="E16" s="61">
        <v>2022</v>
      </c>
      <c r="F16" s="94">
        <v>16600</v>
      </c>
      <c r="G16" s="94">
        <v>44300</v>
      </c>
      <c r="H16" s="94">
        <v>796700</v>
      </c>
      <c r="I16" s="94">
        <v>56</v>
      </c>
    </row>
    <row r="17" spans="2:9">
      <c r="B17" s="61" t="s">
        <v>78</v>
      </c>
      <c r="C17" s="94">
        <v>78500</v>
      </c>
      <c r="E17" s="61">
        <v>2023</v>
      </c>
      <c r="F17" s="94">
        <v>16800</v>
      </c>
      <c r="G17" s="94">
        <v>45100</v>
      </c>
      <c r="H17" s="94">
        <v>810500</v>
      </c>
      <c r="I17" s="94">
        <v>57</v>
      </c>
    </row>
    <row r="18" spans="2:9">
      <c r="B18" s="61" t="s">
        <v>79</v>
      </c>
      <c r="C18" s="94">
        <v>153700</v>
      </c>
      <c r="E18" s="61">
        <v>2024</v>
      </c>
      <c r="F18" s="94">
        <v>17000</v>
      </c>
      <c r="G18" s="94">
        <v>46000</v>
      </c>
      <c r="H18" s="94">
        <v>824500</v>
      </c>
      <c r="I18" s="94">
        <v>58</v>
      </c>
    </row>
    <row r="19" spans="2:9">
      <c r="B19" s="61" t="s">
        <v>80</v>
      </c>
      <c r="C19" s="94">
        <v>564300</v>
      </c>
      <c r="E19" s="61">
        <v>2025</v>
      </c>
      <c r="F19" s="94">
        <v>17200</v>
      </c>
      <c r="G19" s="94">
        <v>46900</v>
      </c>
      <c r="H19" s="94">
        <v>838800</v>
      </c>
      <c r="I19" s="94">
        <v>59</v>
      </c>
    </row>
    <row r="20" spans="2:9">
      <c r="B20" s="61" t="s">
        <v>81</v>
      </c>
      <c r="C20" s="94">
        <v>11800000</v>
      </c>
      <c r="E20" s="61">
        <v>2026</v>
      </c>
      <c r="F20" s="94">
        <v>17500</v>
      </c>
      <c r="G20" s="94">
        <v>47800</v>
      </c>
      <c r="H20" s="94">
        <v>852100</v>
      </c>
      <c r="I20" s="94">
        <v>60</v>
      </c>
    </row>
    <row r="21" spans="2:9">
      <c r="B21" s="61" t="s">
        <v>82</v>
      </c>
      <c r="C21" s="94">
        <v>213900</v>
      </c>
      <c r="E21" s="61">
        <v>2027</v>
      </c>
      <c r="F21" s="94">
        <v>17900</v>
      </c>
      <c r="G21" s="94">
        <v>48700</v>
      </c>
      <c r="H21" s="94">
        <v>865600</v>
      </c>
      <c r="I21" s="94">
        <v>61</v>
      </c>
    </row>
    <row r="22" spans="2:9">
      <c r="B22" s="61" t="s">
        <v>83</v>
      </c>
      <c r="C22" s="94">
        <v>162600</v>
      </c>
      <c r="E22" s="61">
        <v>2028</v>
      </c>
      <c r="F22" s="94">
        <v>18200</v>
      </c>
      <c r="G22" s="94">
        <v>49500</v>
      </c>
      <c r="H22" s="94">
        <v>879400</v>
      </c>
      <c r="I22" s="94">
        <v>62</v>
      </c>
    </row>
    <row r="23" spans="2:9">
      <c r="B23" s="61" t="s">
        <v>84</v>
      </c>
      <c r="C23" s="94">
        <v>307800</v>
      </c>
      <c r="E23" s="61">
        <v>2029</v>
      </c>
      <c r="F23" s="94">
        <v>18600</v>
      </c>
      <c r="G23" s="94">
        <v>50400</v>
      </c>
      <c r="H23" s="94">
        <v>893400</v>
      </c>
      <c r="I23" s="94">
        <v>63</v>
      </c>
    </row>
    <row r="24" spans="2:9">
      <c r="B24" s="61" t="s">
        <v>85</v>
      </c>
      <c r="C24" s="94">
        <v>13046800</v>
      </c>
      <c r="E24" s="61">
        <v>2030</v>
      </c>
      <c r="F24" s="94">
        <v>18900</v>
      </c>
      <c r="G24" s="94">
        <v>51300</v>
      </c>
      <c r="H24" s="94">
        <v>907600</v>
      </c>
      <c r="I24" s="94">
        <v>65</v>
      </c>
    </row>
    <row r="25" spans="2:9">
      <c r="C25" s="94"/>
      <c r="E25" s="61">
        <v>2031</v>
      </c>
      <c r="F25" s="94">
        <v>18900</v>
      </c>
      <c r="G25" s="94">
        <v>51300</v>
      </c>
      <c r="H25" s="94">
        <v>907600</v>
      </c>
      <c r="I25" s="94">
        <v>66</v>
      </c>
    </row>
    <row r="26" spans="2:9" ht="15">
      <c r="B26" s="114" t="s">
        <v>531</v>
      </c>
      <c r="C26" s="94"/>
      <c r="E26" s="61">
        <v>2032</v>
      </c>
      <c r="F26" s="94">
        <v>18900</v>
      </c>
      <c r="G26" s="94">
        <v>51300</v>
      </c>
      <c r="H26" s="94">
        <v>907600</v>
      </c>
      <c r="I26" s="94">
        <v>67</v>
      </c>
    </row>
    <row r="27" spans="2:9">
      <c r="B27" s="61" t="s">
        <v>532</v>
      </c>
      <c r="C27" s="115" t="s">
        <v>533</v>
      </c>
      <c r="E27" s="61">
        <v>2033</v>
      </c>
      <c r="F27" s="94">
        <v>18900</v>
      </c>
      <c r="G27" s="94">
        <v>51300</v>
      </c>
      <c r="H27" s="94">
        <v>907600</v>
      </c>
      <c r="I27" s="94">
        <v>68</v>
      </c>
    </row>
    <row r="28" spans="2:9">
      <c r="B28" s="61" t="s">
        <v>534</v>
      </c>
      <c r="C28" s="115">
        <v>4800</v>
      </c>
      <c r="E28" s="61">
        <v>2034</v>
      </c>
      <c r="F28" s="94">
        <v>18900</v>
      </c>
      <c r="G28" s="94">
        <v>51300</v>
      </c>
      <c r="H28" s="94">
        <v>907600</v>
      </c>
      <c r="I28" s="94">
        <v>69</v>
      </c>
    </row>
    <row r="29" spans="2:9">
      <c r="E29" s="61">
        <v>2035</v>
      </c>
      <c r="F29" s="94">
        <v>18900</v>
      </c>
      <c r="G29" s="94">
        <v>51300</v>
      </c>
      <c r="H29" s="94">
        <v>907600</v>
      </c>
      <c r="I29" s="94">
        <v>70</v>
      </c>
    </row>
    <row r="30" spans="2:9" ht="15">
      <c r="B30" s="114" t="s">
        <v>535</v>
      </c>
      <c r="E30" s="61">
        <v>2036</v>
      </c>
      <c r="F30" s="94">
        <v>18900</v>
      </c>
      <c r="G30" s="94">
        <v>51300</v>
      </c>
      <c r="H30" s="94">
        <v>907600</v>
      </c>
      <c r="I30" s="94">
        <v>72</v>
      </c>
    </row>
    <row r="31" spans="2:9">
      <c r="E31" s="61">
        <v>2037</v>
      </c>
      <c r="F31" s="94">
        <v>18900</v>
      </c>
      <c r="G31" s="94">
        <v>51300</v>
      </c>
      <c r="H31" s="94">
        <v>907600</v>
      </c>
      <c r="I31" s="94">
        <v>73</v>
      </c>
    </row>
    <row r="32" spans="2:9">
      <c r="B32" s="61" t="s">
        <v>536</v>
      </c>
      <c r="C32" s="61" t="s">
        <v>537</v>
      </c>
      <c r="E32" s="61">
        <v>2038</v>
      </c>
      <c r="F32" s="94">
        <v>18900</v>
      </c>
      <c r="G32" s="94">
        <v>51300</v>
      </c>
      <c r="H32" s="94">
        <v>907600</v>
      </c>
      <c r="I32" s="94">
        <v>74</v>
      </c>
    </row>
    <row r="33" spans="2:9">
      <c r="B33" s="61" t="s">
        <v>538</v>
      </c>
      <c r="C33" s="94">
        <v>17</v>
      </c>
      <c r="E33" s="61">
        <v>2039</v>
      </c>
      <c r="F33" s="94">
        <v>18900</v>
      </c>
      <c r="G33" s="94">
        <v>51300</v>
      </c>
      <c r="H33" s="94">
        <v>907600</v>
      </c>
      <c r="I33" s="94">
        <v>75</v>
      </c>
    </row>
    <row r="34" spans="2:9">
      <c r="B34" s="61" t="s">
        <v>539</v>
      </c>
      <c r="C34" s="94">
        <v>31.9</v>
      </c>
      <c r="E34" s="61">
        <v>2040</v>
      </c>
      <c r="F34" s="94">
        <v>18900</v>
      </c>
      <c r="G34" s="94">
        <v>51300</v>
      </c>
      <c r="H34" s="94">
        <v>907600</v>
      </c>
      <c r="I34" s="94">
        <v>76</v>
      </c>
    </row>
    <row r="35" spans="2:9">
      <c r="B35" s="61" t="s">
        <v>540</v>
      </c>
      <c r="C35" s="94">
        <v>18.8</v>
      </c>
      <c r="E35" s="61">
        <v>2041</v>
      </c>
      <c r="F35" s="94">
        <v>18900</v>
      </c>
      <c r="G35" s="94">
        <v>51300</v>
      </c>
      <c r="H35" s="94">
        <v>907600</v>
      </c>
      <c r="I35" s="94">
        <v>78</v>
      </c>
    </row>
    <row r="36" spans="2:9">
      <c r="B36" s="61" t="s">
        <v>541</v>
      </c>
      <c r="C36" s="94">
        <v>34</v>
      </c>
      <c r="E36" s="61">
        <v>2042</v>
      </c>
      <c r="F36" s="94">
        <v>18900</v>
      </c>
      <c r="G36" s="94">
        <v>51300</v>
      </c>
      <c r="H36" s="94">
        <v>907600</v>
      </c>
      <c r="I36" s="94">
        <v>79</v>
      </c>
    </row>
    <row r="37" spans="2:9">
      <c r="B37" s="61" t="s">
        <v>542</v>
      </c>
      <c r="C37" s="94">
        <v>32.4</v>
      </c>
      <c r="E37" s="61">
        <v>2043</v>
      </c>
      <c r="F37" s="94">
        <v>18900</v>
      </c>
      <c r="G37" s="94">
        <v>51300</v>
      </c>
      <c r="H37" s="94">
        <v>907600</v>
      </c>
      <c r="I37" s="94">
        <v>80</v>
      </c>
    </row>
    <row r="38" spans="2:9">
      <c r="B38" s="61" t="s">
        <v>543</v>
      </c>
      <c r="C38" s="94">
        <v>35</v>
      </c>
      <c r="E38" s="61">
        <v>2044</v>
      </c>
      <c r="F38" s="94">
        <v>18900</v>
      </c>
      <c r="G38" s="94">
        <v>51300</v>
      </c>
      <c r="H38" s="94">
        <v>907600</v>
      </c>
      <c r="I38" s="94">
        <v>81</v>
      </c>
    </row>
    <row r="39" spans="2:9">
      <c r="B39" s="61" t="s">
        <v>544</v>
      </c>
      <c r="C39" s="94">
        <v>58.4</v>
      </c>
      <c r="E39" s="61">
        <v>2045</v>
      </c>
      <c r="F39" s="94">
        <v>18900</v>
      </c>
      <c r="G39" s="94">
        <v>51300</v>
      </c>
      <c r="H39" s="94">
        <v>907600</v>
      </c>
      <c r="I39" s="94">
        <v>82</v>
      </c>
    </row>
    <row r="40" spans="2:9">
      <c r="B40" s="61" t="s">
        <v>545</v>
      </c>
      <c r="C40" s="94">
        <v>57.4</v>
      </c>
      <c r="E40" s="61">
        <v>2046</v>
      </c>
      <c r="F40" s="94">
        <v>18900</v>
      </c>
      <c r="G40" s="94">
        <v>51300</v>
      </c>
      <c r="H40" s="94">
        <v>907600</v>
      </c>
      <c r="I40" s="94">
        <v>84</v>
      </c>
    </row>
    <row r="41" spans="2:9">
      <c r="E41" s="61">
        <v>2047</v>
      </c>
      <c r="F41" s="94">
        <v>18900</v>
      </c>
      <c r="G41" s="94">
        <v>51300</v>
      </c>
      <c r="H41" s="94">
        <v>907600</v>
      </c>
      <c r="I41" s="94">
        <v>85</v>
      </c>
    </row>
    <row r="42" spans="2:9" ht="15">
      <c r="B42" s="114" t="s">
        <v>546</v>
      </c>
      <c r="E42" s="61">
        <v>2048</v>
      </c>
      <c r="F42" s="94">
        <v>18900</v>
      </c>
      <c r="G42" s="94">
        <v>51300</v>
      </c>
      <c r="H42" s="94">
        <v>907600</v>
      </c>
      <c r="I42" s="94">
        <v>86</v>
      </c>
    </row>
    <row r="43" spans="2:9">
      <c r="E43" s="61">
        <v>2049</v>
      </c>
      <c r="F43" s="94">
        <v>18900</v>
      </c>
      <c r="G43" s="94">
        <v>51300</v>
      </c>
      <c r="H43" s="94">
        <v>907600</v>
      </c>
      <c r="I43" s="94">
        <v>87</v>
      </c>
    </row>
    <row r="44" spans="2:9">
      <c r="B44" s="61" t="s">
        <v>547</v>
      </c>
      <c r="C44" s="61" t="s">
        <v>548</v>
      </c>
      <c r="E44" s="61">
        <v>2050</v>
      </c>
      <c r="F44" s="94">
        <v>18900</v>
      </c>
      <c r="G44" s="94">
        <v>51300</v>
      </c>
      <c r="H44" s="94">
        <v>907600</v>
      </c>
      <c r="I44" s="94">
        <v>88</v>
      </c>
    </row>
    <row r="45" spans="2:9">
      <c r="B45" s="61" t="s">
        <v>549</v>
      </c>
      <c r="C45" s="61">
        <v>1.48</v>
      </c>
      <c r="E45" s="61">
        <v>2051</v>
      </c>
      <c r="F45" s="94">
        <v>18900</v>
      </c>
      <c r="G45" s="94">
        <v>51300</v>
      </c>
      <c r="H45" s="94">
        <v>907600</v>
      </c>
      <c r="I45" s="364">
        <v>84</v>
      </c>
    </row>
    <row r="46" spans="2:9">
      <c r="B46" s="61" t="s">
        <v>550</v>
      </c>
      <c r="C46" s="61">
        <v>1.58</v>
      </c>
      <c r="E46" s="61">
        <v>2052</v>
      </c>
      <c r="F46" s="94">
        <v>18900</v>
      </c>
      <c r="G46" s="94">
        <v>51300</v>
      </c>
      <c r="H46" s="94">
        <v>907600</v>
      </c>
      <c r="I46" s="364">
        <v>85</v>
      </c>
    </row>
    <row r="47" spans="2:9">
      <c r="B47" s="61" t="s">
        <v>551</v>
      </c>
      <c r="C47" s="61">
        <v>2.02</v>
      </c>
      <c r="E47" s="61">
        <v>2053</v>
      </c>
      <c r="F47" s="94">
        <v>18900</v>
      </c>
      <c r="G47" s="94">
        <v>51300</v>
      </c>
      <c r="H47" s="94">
        <v>907600</v>
      </c>
      <c r="I47" s="364">
        <v>86</v>
      </c>
    </row>
    <row r="48" spans="2:9">
      <c r="B48" s="61" t="s">
        <v>552</v>
      </c>
      <c r="C48" s="61">
        <v>1.67</v>
      </c>
      <c r="E48" s="61">
        <v>2054</v>
      </c>
      <c r="F48" s="94">
        <v>18900</v>
      </c>
      <c r="G48" s="94">
        <v>51300</v>
      </c>
      <c r="H48" s="94">
        <v>907600</v>
      </c>
      <c r="I48" s="364">
        <v>87</v>
      </c>
    </row>
    <row r="49" spans="2:9">
      <c r="E49" s="61">
        <v>2055</v>
      </c>
      <c r="F49" s="94">
        <v>18900</v>
      </c>
      <c r="G49" s="94">
        <v>51300</v>
      </c>
      <c r="H49" s="94">
        <v>907600</v>
      </c>
      <c r="I49" s="364">
        <v>88</v>
      </c>
    </row>
    <row r="50" spans="2:9" ht="15">
      <c r="B50" s="114" t="s">
        <v>553</v>
      </c>
      <c r="E50" s="61">
        <v>2056</v>
      </c>
      <c r="F50" s="94">
        <v>18900</v>
      </c>
      <c r="G50" s="94">
        <v>51300</v>
      </c>
      <c r="H50" s="94">
        <v>907600</v>
      </c>
      <c r="I50" s="364">
        <v>89</v>
      </c>
    </row>
    <row r="51" spans="2:9">
      <c r="E51" s="61">
        <v>2057</v>
      </c>
      <c r="F51" s="94">
        <v>18900</v>
      </c>
      <c r="G51" s="94">
        <v>51300</v>
      </c>
      <c r="H51" s="94">
        <v>907600</v>
      </c>
      <c r="I51" s="364">
        <v>90</v>
      </c>
    </row>
    <row r="52" spans="2:9">
      <c r="B52" s="61" t="s">
        <v>547</v>
      </c>
      <c r="C52" s="61" t="s">
        <v>554</v>
      </c>
      <c r="E52" s="61">
        <v>2058</v>
      </c>
      <c r="F52" s="94">
        <v>18900</v>
      </c>
      <c r="G52" s="94">
        <v>51300</v>
      </c>
      <c r="H52" s="94">
        <v>907600</v>
      </c>
      <c r="I52" s="364">
        <v>91</v>
      </c>
    </row>
    <row r="53" spans="2:9">
      <c r="B53" s="61" t="s">
        <v>555</v>
      </c>
      <c r="C53" s="94">
        <v>0.46</v>
      </c>
      <c r="E53" s="61">
        <v>2059</v>
      </c>
      <c r="F53" s="94">
        <v>18900</v>
      </c>
      <c r="G53" s="94">
        <v>51300</v>
      </c>
      <c r="H53" s="94">
        <v>907600</v>
      </c>
      <c r="I53" s="364">
        <v>92</v>
      </c>
    </row>
    <row r="54" spans="2:9">
      <c r="B54" s="61" t="s">
        <v>556</v>
      </c>
      <c r="C54" s="94">
        <v>1.01</v>
      </c>
    </row>
    <row r="55" spans="2:9" ht="15.75">
      <c r="C55" s="94"/>
      <c r="E55" s="61" t="s">
        <v>557</v>
      </c>
    </row>
    <row r="56" spans="2:9">
      <c r="C56" s="94"/>
    </row>
    <row r="57" spans="2:9" ht="15">
      <c r="B57" s="114" t="s">
        <v>558</v>
      </c>
      <c r="E57" s="114" t="s">
        <v>559</v>
      </c>
    </row>
    <row r="59" spans="2:9">
      <c r="B59" s="61" t="s">
        <v>560</v>
      </c>
      <c r="C59" s="61" t="s">
        <v>561</v>
      </c>
      <c r="E59" s="61" t="s">
        <v>562</v>
      </c>
      <c r="F59" s="61" t="s">
        <v>563</v>
      </c>
      <c r="G59" s="61" t="s">
        <v>564</v>
      </c>
      <c r="H59" s="61" t="s">
        <v>565</v>
      </c>
    </row>
    <row r="60" spans="2:9">
      <c r="B60" s="61">
        <v>2003</v>
      </c>
      <c r="C60" s="116">
        <v>1.44</v>
      </c>
      <c r="E60" s="61" t="s">
        <v>566</v>
      </c>
      <c r="F60" s="94">
        <v>0.03</v>
      </c>
      <c r="G60" s="94">
        <v>0.03</v>
      </c>
      <c r="H60" s="94">
        <v>0.06</v>
      </c>
    </row>
    <row r="61" spans="2:9">
      <c r="B61" s="61">
        <v>2004</v>
      </c>
      <c r="C61" s="116">
        <v>1.4</v>
      </c>
      <c r="E61" s="61" t="s">
        <v>567</v>
      </c>
      <c r="F61" s="94">
        <v>0.31</v>
      </c>
      <c r="G61" s="94">
        <v>0.15</v>
      </c>
      <c r="H61" s="94">
        <v>0.86</v>
      </c>
    </row>
    <row r="62" spans="2:9">
      <c r="B62" s="61">
        <v>2005</v>
      </c>
      <c r="C62" s="116">
        <v>1.36</v>
      </c>
      <c r="E62" s="61" t="s">
        <v>568</v>
      </c>
      <c r="F62" s="94">
        <v>0.24</v>
      </c>
      <c r="G62" s="94">
        <v>0.24</v>
      </c>
      <c r="H62" s="94">
        <v>0.11</v>
      </c>
    </row>
    <row r="63" spans="2:9">
      <c r="B63" s="61">
        <v>2006</v>
      </c>
      <c r="C63" s="116">
        <v>1.32</v>
      </c>
      <c r="E63" s="61" t="s">
        <v>569</v>
      </c>
      <c r="F63" s="94">
        <v>0.31</v>
      </c>
      <c r="G63" s="94">
        <v>0.05</v>
      </c>
      <c r="H63" s="94">
        <v>0.1</v>
      </c>
    </row>
    <row r="64" spans="2:9">
      <c r="B64" s="61">
        <v>2007</v>
      </c>
      <c r="C64" s="116">
        <v>1.28</v>
      </c>
      <c r="E64" s="61" t="s">
        <v>570</v>
      </c>
      <c r="F64" s="94">
        <v>0.19</v>
      </c>
      <c r="G64" s="94">
        <v>0.13</v>
      </c>
      <c r="H64" s="94">
        <v>0.13</v>
      </c>
    </row>
    <row r="65" spans="2:8">
      <c r="B65" s="61">
        <v>2008</v>
      </c>
      <c r="C65" s="116">
        <v>1.26</v>
      </c>
      <c r="E65" s="61" t="s">
        <v>571</v>
      </c>
      <c r="F65" s="94">
        <v>0.25</v>
      </c>
      <c r="G65" s="94">
        <v>0.16</v>
      </c>
      <c r="H65" s="94">
        <v>0.13</v>
      </c>
    </row>
    <row r="66" spans="2:8">
      <c r="B66" s="61">
        <v>2009</v>
      </c>
      <c r="C66" s="116">
        <v>1.25</v>
      </c>
      <c r="E66" s="61" t="s">
        <v>572</v>
      </c>
      <c r="F66" s="94">
        <v>0.14000000000000001</v>
      </c>
      <c r="G66" s="94">
        <v>0.14000000000000001</v>
      </c>
      <c r="H66" s="94">
        <v>0.1</v>
      </c>
    </row>
    <row r="67" spans="2:8">
      <c r="B67" s="61">
        <v>2010</v>
      </c>
      <c r="C67" s="116">
        <v>1.24</v>
      </c>
      <c r="E67" s="61" t="s">
        <v>573</v>
      </c>
      <c r="F67" s="94">
        <v>0.11</v>
      </c>
      <c r="G67" s="94">
        <v>0.11</v>
      </c>
      <c r="H67" s="94">
        <v>0.06</v>
      </c>
    </row>
    <row r="68" spans="2:8">
      <c r="B68" s="61">
        <v>2011</v>
      </c>
      <c r="C68" s="116">
        <v>1.21</v>
      </c>
      <c r="E68" s="61" t="s">
        <v>574</v>
      </c>
      <c r="F68" s="94">
        <v>0.08</v>
      </c>
      <c r="G68" s="94">
        <v>0.03</v>
      </c>
      <c r="H68" s="94">
        <v>0.18</v>
      </c>
    </row>
    <row r="69" spans="2:8">
      <c r="B69" s="61">
        <v>2012</v>
      </c>
      <c r="C69" s="116">
        <v>1.19</v>
      </c>
      <c r="E69" s="61" t="s">
        <v>575</v>
      </c>
      <c r="F69" s="94">
        <v>0.32</v>
      </c>
      <c r="G69" s="94">
        <v>0.32</v>
      </c>
      <c r="H69" s="94">
        <v>0.2</v>
      </c>
    </row>
    <row r="70" spans="2:8">
      <c r="B70" s="61">
        <v>2013</v>
      </c>
      <c r="C70" s="116">
        <v>1.17</v>
      </c>
      <c r="E70" s="61" t="s">
        <v>576</v>
      </c>
      <c r="F70" s="94">
        <v>0.42</v>
      </c>
      <c r="G70" s="94">
        <v>0.08</v>
      </c>
      <c r="H70" s="94">
        <v>7.0000000000000007E-2</v>
      </c>
    </row>
    <row r="71" spans="2:8">
      <c r="B71" s="61">
        <v>2014</v>
      </c>
      <c r="C71" s="116">
        <v>1.1499999999999999</v>
      </c>
      <c r="E71" s="61" t="s">
        <v>577</v>
      </c>
      <c r="F71" s="94">
        <v>0.31</v>
      </c>
      <c r="G71" s="94">
        <v>0.31</v>
      </c>
      <c r="H71" s="94">
        <v>0.32</v>
      </c>
    </row>
    <row r="72" spans="2:8">
      <c r="B72" s="61">
        <v>2015</v>
      </c>
      <c r="C72" s="116">
        <v>1.1399999999999999</v>
      </c>
      <c r="E72" s="61" t="s">
        <v>578</v>
      </c>
      <c r="F72" s="94">
        <v>0.62</v>
      </c>
      <c r="G72" s="94">
        <v>0.62</v>
      </c>
      <c r="H72" s="94">
        <v>0.62</v>
      </c>
    </row>
    <row r="73" spans="2:8">
      <c r="B73" s="61">
        <v>2016</v>
      </c>
      <c r="C73" s="116">
        <v>1.1200000000000001</v>
      </c>
      <c r="E73" s="61" t="s">
        <v>579</v>
      </c>
      <c r="F73" s="94">
        <v>0.1</v>
      </c>
      <c r="G73" s="94">
        <v>0.1</v>
      </c>
      <c r="H73" s="94">
        <v>7.0000000000000007E-2</v>
      </c>
    </row>
    <row r="74" spans="2:8">
      <c r="B74" s="61">
        <v>2017</v>
      </c>
      <c r="C74" s="116">
        <v>1.1000000000000001</v>
      </c>
      <c r="E74" s="61" t="s">
        <v>580</v>
      </c>
      <c r="F74" s="94">
        <v>0.23</v>
      </c>
      <c r="G74" s="94">
        <v>0.1</v>
      </c>
      <c r="H74" s="94">
        <v>0.48</v>
      </c>
    </row>
    <row r="75" spans="2:8">
      <c r="B75" s="61">
        <v>2018</v>
      </c>
      <c r="C75" s="116">
        <v>1.08</v>
      </c>
      <c r="E75" s="61" t="s">
        <v>581</v>
      </c>
      <c r="F75" s="94">
        <v>0</v>
      </c>
      <c r="G75" s="94">
        <v>0</v>
      </c>
      <c r="H75" s="94">
        <v>0.1</v>
      </c>
    </row>
    <row r="76" spans="2:8">
      <c r="B76" s="61">
        <v>2019</v>
      </c>
      <c r="C76" s="116">
        <v>1.06</v>
      </c>
      <c r="E76" s="61" t="s">
        <v>582</v>
      </c>
      <c r="F76" s="94">
        <v>0</v>
      </c>
      <c r="G76" s="94">
        <v>0</v>
      </c>
      <c r="H76" s="94">
        <v>0.11</v>
      </c>
    </row>
    <row r="77" spans="2:8">
      <c r="B77" s="61">
        <v>2020</v>
      </c>
      <c r="C77" s="116">
        <v>1.04</v>
      </c>
      <c r="E77" s="61" t="s">
        <v>583</v>
      </c>
      <c r="F77" s="94">
        <v>0</v>
      </c>
      <c r="G77" s="94">
        <v>0</v>
      </c>
      <c r="H77" s="94">
        <v>7.0000000000000007E-2</v>
      </c>
    </row>
    <row r="78" spans="2:8">
      <c r="B78" s="61">
        <v>2021</v>
      </c>
      <c r="C78" s="116">
        <v>1</v>
      </c>
      <c r="E78" s="61" t="s">
        <v>584</v>
      </c>
      <c r="F78" s="94">
        <v>0</v>
      </c>
      <c r="G78" s="94">
        <v>0</v>
      </c>
      <c r="H78" s="94">
        <v>0.04</v>
      </c>
    </row>
    <row r="79" spans="2:8">
      <c r="E79" s="61" t="s">
        <v>585</v>
      </c>
      <c r="F79" s="94">
        <v>0</v>
      </c>
      <c r="G79" s="94">
        <v>0</v>
      </c>
      <c r="H79" s="94">
        <v>0.09</v>
      </c>
    </row>
    <row r="80" spans="2:8" ht="15">
      <c r="B80" s="114" t="s">
        <v>586</v>
      </c>
      <c r="E80" s="61" t="s">
        <v>587</v>
      </c>
      <c r="F80" s="94">
        <v>0</v>
      </c>
      <c r="G80" s="94">
        <v>0</v>
      </c>
      <c r="H80" s="94">
        <v>0.05</v>
      </c>
    </row>
    <row r="81" spans="2:9">
      <c r="E81" s="61" t="s">
        <v>588</v>
      </c>
      <c r="F81" s="94">
        <v>0</v>
      </c>
      <c r="G81" s="94">
        <v>0</v>
      </c>
      <c r="H81" s="94">
        <v>0.2</v>
      </c>
    </row>
    <row r="82" spans="2:9">
      <c r="B82" s="61" t="s">
        <v>385</v>
      </c>
      <c r="C82" s="61" t="s">
        <v>589</v>
      </c>
    </row>
    <row r="83" spans="2:9" ht="15">
      <c r="B83" s="61" t="s">
        <v>590</v>
      </c>
      <c r="C83" s="94">
        <v>0.11</v>
      </c>
      <c r="E83" s="114" t="s">
        <v>591</v>
      </c>
    </row>
    <row r="84" spans="2:9" ht="16.5">
      <c r="B84" s="61" t="s">
        <v>592</v>
      </c>
      <c r="C84" s="365">
        <v>1.05</v>
      </c>
    </row>
    <row r="85" spans="2:9" ht="16.5">
      <c r="B85" s="61" t="s">
        <v>593</v>
      </c>
      <c r="C85" s="365">
        <v>0.09</v>
      </c>
      <c r="E85" s="61" t="s">
        <v>594</v>
      </c>
      <c r="F85" s="61" t="s">
        <v>595</v>
      </c>
      <c r="G85" s="61" t="s">
        <v>596</v>
      </c>
      <c r="H85" s="61" t="s">
        <v>597</v>
      </c>
    </row>
    <row r="86" spans="2:9" ht="16.5">
      <c r="B86" s="61" t="s">
        <v>598</v>
      </c>
      <c r="C86" s="366">
        <v>8.9999999999999998E-4</v>
      </c>
      <c r="E86" s="61" t="s">
        <v>567</v>
      </c>
      <c r="F86" s="94">
        <v>0.22</v>
      </c>
      <c r="G86" s="94">
        <v>0.22</v>
      </c>
      <c r="H86" s="94">
        <v>0.22</v>
      </c>
    </row>
    <row r="87" spans="2:9">
      <c r="B87" s="61" t="s">
        <v>599</v>
      </c>
      <c r="C87" s="94">
        <v>0.18</v>
      </c>
      <c r="E87" s="61" t="s">
        <v>600</v>
      </c>
      <c r="F87" s="94">
        <v>0.13</v>
      </c>
      <c r="G87" s="94">
        <v>0.13</v>
      </c>
      <c r="H87" s="94">
        <v>0.31</v>
      </c>
    </row>
    <row r="88" spans="2:9">
      <c r="B88" s="61" t="s">
        <v>601</v>
      </c>
      <c r="C88" s="94">
        <v>0.48</v>
      </c>
      <c r="E88" s="61" t="s">
        <v>602</v>
      </c>
      <c r="F88" s="94">
        <v>0.09</v>
      </c>
      <c r="G88" s="94">
        <v>0.09</v>
      </c>
      <c r="H88" s="94">
        <v>0.09</v>
      </c>
    </row>
    <row r="89" spans="2:9">
      <c r="E89" s="61" t="s">
        <v>569</v>
      </c>
      <c r="F89" s="94">
        <v>0.38</v>
      </c>
      <c r="G89" s="94">
        <v>0.38</v>
      </c>
      <c r="H89" s="94">
        <v>0.39</v>
      </c>
    </row>
    <row r="90" spans="2:9" ht="15">
      <c r="B90" s="114" t="s">
        <v>603</v>
      </c>
      <c r="E90" s="61" t="s">
        <v>577</v>
      </c>
      <c r="F90" s="94">
        <v>0.22</v>
      </c>
      <c r="G90" s="94">
        <v>0.22</v>
      </c>
      <c r="H90" s="94">
        <v>0.63</v>
      </c>
    </row>
    <row r="91" spans="2:9">
      <c r="E91" s="61" t="s">
        <v>604</v>
      </c>
      <c r="F91" s="94">
        <v>0.31</v>
      </c>
      <c r="G91" s="94">
        <v>0.12</v>
      </c>
      <c r="H91" s="94">
        <v>0.47</v>
      </c>
    </row>
    <row r="92" spans="2:9">
      <c r="B92" s="61" t="s">
        <v>326</v>
      </c>
      <c r="C92" s="61" t="s">
        <v>605</v>
      </c>
      <c r="E92" s="61" t="s">
        <v>606</v>
      </c>
      <c r="F92" s="94">
        <v>0.04</v>
      </c>
      <c r="G92" s="94">
        <v>0.04</v>
      </c>
      <c r="H92" s="94">
        <v>0.04</v>
      </c>
    </row>
    <row r="93" spans="2:9">
      <c r="B93" s="61" t="s">
        <v>392</v>
      </c>
      <c r="C93" s="94">
        <v>1.49</v>
      </c>
      <c r="E93" s="61" t="s">
        <v>607</v>
      </c>
      <c r="F93" s="94">
        <v>0</v>
      </c>
      <c r="G93" s="94">
        <v>0</v>
      </c>
      <c r="H93" s="94">
        <v>0.03</v>
      </c>
    </row>
    <row r="94" spans="2:9">
      <c r="B94" s="61" t="s">
        <v>608</v>
      </c>
      <c r="C94" s="94">
        <v>1.87</v>
      </c>
      <c r="E94" s="61" t="s">
        <v>609</v>
      </c>
      <c r="F94" s="94">
        <v>0</v>
      </c>
      <c r="G94" s="94">
        <v>0</v>
      </c>
      <c r="H94" s="94">
        <v>0.19</v>
      </c>
    </row>
    <row r="95" spans="2:9">
      <c r="B95" s="61" t="s">
        <v>394</v>
      </c>
      <c r="C95" s="94">
        <v>1.77</v>
      </c>
    </row>
    <row r="96" spans="2:9" ht="15">
      <c r="B96" s="61" t="s">
        <v>610</v>
      </c>
      <c r="C96" s="94">
        <v>0.28000000000000003</v>
      </c>
      <c r="E96" s="114" t="s">
        <v>611</v>
      </c>
      <c r="I96" s="367"/>
    </row>
    <row r="97" spans="2:9">
      <c r="B97" s="61" t="s">
        <v>612</v>
      </c>
      <c r="C97" s="94">
        <v>1.77</v>
      </c>
    </row>
    <row r="98" spans="2:9">
      <c r="E98" s="61" t="s">
        <v>613</v>
      </c>
      <c r="F98" s="61" t="s">
        <v>614</v>
      </c>
      <c r="G98" s="61" t="s">
        <v>615</v>
      </c>
    </row>
    <row r="99" spans="2:9" ht="15">
      <c r="B99" s="114" t="s">
        <v>616</v>
      </c>
      <c r="E99" s="61" t="s">
        <v>617</v>
      </c>
      <c r="F99" s="94">
        <v>0.31</v>
      </c>
      <c r="G99" s="94">
        <v>0.38</v>
      </c>
      <c r="H99" s="117"/>
    </row>
    <row r="100" spans="2:9">
      <c r="B100" s="61" t="s">
        <v>618</v>
      </c>
      <c r="C100" s="61" t="s">
        <v>589</v>
      </c>
      <c r="E100" s="61" t="s">
        <v>619</v>
      </c>
      <c r="F100" s="94">
        <v>0.63</v>
      </c>
      <c r="G100" s="94">
        <v>0.75</v>
      </c>
      <c r="H100" s="117"/>
    </row>
    <row r="101" spans="2:9">
      <c r="B101" s="61" t="s">
        <v>620</v>
      </c>
      <c r="C101" s="94">
        <v>7.2</v>
      </c>
      <c r="E101" s="61" t="s">
        <v>621</v>
      </c>
      <c r="F101" s="94">
        <v>1.57</v>
      </c>
      <c r="G101" s="94">
        <v>1.5</v>
      </c>
      <c r="H101" s="117"/>
    </row>
    <row r="102" spans="2:9">
      <c r="B102" s="61" t="s">
        <v>622</v>
      </c>
      <c r="C102" s="94">
        <v>6.42</v>
      </c>
      <c r="E102" s="61" t="s">
        <v>623</v>
      </c>
      <c r="F102" s="94">
        <v>1.88</v>
      </c>
      <c r="G102" s="94">
        <v>1.88</v>
      </c>
      <c r="H102" s="117"/>
    </row>
    <row r="103" spans="2:9">
      <c r="E103" s="61" t="s">
        <v>624</v>
      </c>
      <c r="F103" s="94">
        <v>3.13</v>
      </c>
      <c r="G103" s="94">
        <v>3.38</v>
      </c>
      <c r="H103" s="117"/>
    </row>
    <row r="104" spans="2:9">
      <c r="E104" s="61" t="s">
        <v>625</v>
      </c>
      <c r="F104" s="94">
        <v>3.45</v>
      </c>
      <c r="G104" s="94">
        <v>3.76</v>
      </c>
      <c r="H104" s="117"/>
    </row>
    <row r="105" spans="2:9">
      <c r="E105" s="61" t="s">
        <v>626</v>
      </c>
      <c r="F105" s="94">
        <v>5.01</v>
      </c>
      <c r="G105" s="94">
        <v>3.76</v>
      </c>
      <c r="H105" s="117"/>
    </row>
    <row r="106" spans="2:9">
      <c r="E106" s="61" t="s">
        <v>627</v>
      </c>
      <c r="F106" s="94">
        <v>3.45</v>
      </c>
      <c r="G106" s="94">
        <v>3.76</v>
      </c>
      <c r="H106" s="117"/>
    </row>
    <row r="107" spans="2:9" ht="16.5">
      <c r="E107" s="61" t="s">
        <v>628</v>
      </c>
      <c r="F107" s="94"/>
      <c r="G107" s="366"/>
      <c r="H107" s="366"/>
    </row>
    <row r="108" spans="2:9" ht="16.5">
      <c r="E108" s="61" t="s">
        <v>629</v>
      </c>
      <c r="F108" s="94"/>
      <c r="G108" s="366"/>
      <c r="H108" s="366"/>
    </row>
    <row r="110" spans="2:9" ht="15">
      <c r="E110" s="114" t="s">
        <v>630</v>
      </c>
    </row>
    <row r="112" spans="2:9">
      <c r="E112" s="61" t="s">
        <v>547</v>
      </c>
      <c r="F112" s="61" t="s">
        <v>631</v>
      </c>
      <c r="G112" s="61" t="s">
        <v>632</v>
      </c>
      <c r="H112" s="61" t="s">
        <v>633</v>
      </c>
      <c r="I112" s="61" t="s">
        <v>634</v>
      </c>
    </row>
    <row r="113" spans="5:9">
      <c r="E113" s="61" t="s">
        <v>635</v>
      </c>
      <c r="F113" s="61" t="s">
        <v>636</v>
      </c>
      <c r="G113" s="117">
        <v>0.13</v>
      </c>
      <c r="H113" s="117">
        <v>1.8E-3</v>
      </c>
      <c r="I113" s="61">
        <v>1.4999999999999999E-2</v>
      </c>
    </row>
    <row r="114" spans="5:9">
      <c r="E114" s="61" t="s">
        <v>635</v>
      </c>
      <c r="F114" s="61" t="s">
        <v>637</v>
      </c>
      <c r="G114" s="117">
        <v>2.8000000000000001E-2</v>
      </c>
      <c r="H114" s="117">
        <v>2.0000000000000001E-4</v>
      </c>
      <c r="I114" s="61">
        <v>0.08</v>
      </c>
    </row>
    <row r="115" spans="5:9">
      <c r="E115" s="61" t="s">
        <v>635</v>
      </c>
      <c r="F115" s="61" t="s">
        <v>638</v>
      </c>
      <c r="G115" s="117">
        <v>0.109</v>
      </c>
      <c r="H115" s="117">
        <v>1E-3</v>
      </c>
      <c r="I115" s="61">
        <v>3.3000000000000002E-2</v>
      </c>
    </row>
    <row r="116" spans="5:9">
      <c r="E116" s="61" t="s">
        <v>639</v>
      </c>
      <c r="F116" s="61" t="s">
        <v>636</v>
      </c>
      <c r="G116" s="117">
        <v>0.32400000000000001</v>
      </c>
      <c r="H116" s="117">
        <v>4.1099999999999998E-2</v>
      </c>
      <c r="I116" s="61">
        <v>1.4E-2</v>
      </c>
    </row>
    <row r="117" spans="5:9">
      <c r="E117" s="61" t="s">
        <v>639</v>
      </c>
      <c r="F117" s="61" t="s">
        <v>637</v>
      </c>
      <c r="G117" s="117">
        <v>7.0000000000000007E-2</v>
      </c>
      <c r="H117" s="117">
        <v>3.3999999999999998E-3</v>
      </c>
      <c r="I117" s="61">
        <v>2.1999999999999999E-2</v>
      </c>
    </row>
    <row r="118" spans="5:9">
      <c r="E118" s="61" t="s">
        <v>639</v>
      </c>
      <c r="F118" s="61" t="s">
        <v>638</v>
      </c>
      <c r="G118" s="117">
        <v>0.222</v>
      </c>
      <c r="H118" s="117">
        <v>2.07E-2</v>
      </c>
      <c r="I118" s="61">
        <v>1.7999999999999999E-2</v>
      </c>
    </row>
    <row r="119" spans="5:9">
      <c r="E119" s="61" t="s">
        <v>640</v>
      </c>
      <c r="F119" s="61" t="s">
        <v>636</v>
      </c>
      <c r="G119" s="117">
        <v>0.14399999999999999</v>
      </c>
      <c r="H119" s="117">
        <v>4.7999999999999996E-3</v>
      </c>
      <c r="I119" s="61">
        <v>1.4999999999999999E-2</v>
      </c>
    </row>
    <row r="120" spans="5:9">
      <c r="E120" s="61" t="s">
        <v>640</v>
      </c>
      <c r="F120" s="61" t="s">
        <v>637</v>
      </c>
      <c r="G120" s="117">
        <v>3.4000000000000002E-2</v>
      </c>
      <c r="H120" s="117">
        <v>6.9999999999999999E-4</v>
      </c>
      <c r="I120" s="61">
        <v>7.0999999999999994E-2</v>
      </c>
    </row>
    <row r="121" spans="5:9">
      <c r="E121" s="61" t="s">
        <v>640</v>
      </c>
      <c r="F121" s="61" t="s">
        <v>638</v>
      </c>
      <c r="G121" s="117">
        <v>0.12</v>
      </c>
      <c r="H121" s="117">
        <v>2.8999999999999998E-3</v>
      </c>
      <c r="I121" s="61">
        <v>3.2000000000000001E-2</v>
      </c>
    </row>
  </sheetData>
  <mergeCells count="2">
    <mergeCell ref="A1:I1"/>
    <mergeCell ref="A7:I11"/>
  </mergeCells>
  <pageMargins left="0.7" right="0.7" top="0.75" bottom="0.75" header="0.3" footer="0.3"/>
  <pageSetup scale="37" orientation="portrait" r:id="rId1"/>
  <rowBreaks count="1" manualBreakCount="1">
    <brk id="55" max="16383" man="1"/>
  </rowBreaks>
  <colBreaks count="1" manualBreakCount="1">
    <brk id="1" max="1048575" man="1"/>
  </colBreaks>
  <drawing r:id="rId2"/>
  <tableParts count="14">
    <tablePart r:id="rId3"/>
    <tablePart r:id="rId4"/>
    <tablePart r:id="rId5"/>
    <tablePart r:id="rId6"/>
    <tablePart r:id="rId7"/>
    <tablePart r:id="rId8"/>
    <tablePart r:id="rId9"/>
    <tablePart r:id="rId10"/>
    <tablePart r:id="rId11"/>
    <tablePart r:id="rId12"/>
    <tablePart r:id="rId13"/>
    <tablePart r:id="rId14"/>
    <tablePart r:id="rId15"/>
    <tablePart r:id="rId16"/>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6AFFD7-8118-45E6-9DFF-693F1690B962}">
  <sheetPr>
    <tabColor theme="1"/>
    <pageSetUpPr fitToPage="1"/>
  </sheetPr>
  <dimension ref="A1:I55"/>
  <sheetViews>
    <sheetView showGridLines="0" tabSelected="1" view="pageBreakPreview" zoomScale="60" zoomScaleNormal="100" workbookViewId="0">
      <selection activeCell="A3" sqref="A3:XFD3"/>
    </sheetView>
  </sheetViews>
  <sheetFormatPr defaultColWidth="9.140625" defaultRowHeight="12.75"/>
  <cols>
    <col min="1" max="1" width="15.7109375" style="61" customWidth="1"/>
    <col min="2" max="2" width="18.140625" style="61" customWidth="1"/>
    <col min="3" max="3" width="37.28515625" style="61" bestFit="1" customWidth="1"/>
    <col min="4" max="4" width="15.7109375" style="61" customWidth="1"/>
    <col min="5" max="5" width="36.5703125" style="61" customWidth="1"/>
    <col min="6" max="9" width="15.7109375" style="61" customWidth="1"/>
    <col min="10" max="16384" width="9.140625" style="61"/>
  </cols>
  <sheetData>
    <row r="1" spans="1:9">
      <c r="A1" s="512" t="s">
        <v>641</v>
      </c>
      <c r="B1" s="512"/>
      <c r="C1" s="512"/>
      <c r="D1" s="512"/>
      <c r="E1" s="512"/>
      <c r="F1" s="512"/>
      <c r="G1" s="512"/>
      <c r="H1" s="512"/>
      <c r="I1" s="512"/>
    </row>
    <row r="2" spans="1:9">
      <c r="A2" s="62" t="s">
        <v>1</v>
      </c>
      <c r="B2" s="63" t="str">
        <f>Project_Name</f>
        <v>Right-Sizing Route 37: Improving Community Connectivity</v>
      </c>
    </row>
    <row r="3" spans="1:9" hidden="1">
      <c r="A3" s="62" t="s">
        <v>2</v>
      </c>
      <c r="B3" s="63"/>
    </row>
    <row r="4" spans="1:9">
      <c r="A4" s="62" t="s">
        <v>3</v>
      </c>
      <c r="B4" s="64">
        <f>Date</f>
        <v>44985</v>
      </c>
    </row>
    <row r="5" spans="1:9" ht="30" customHeight="1">
      <c r="A5" s="62"/>
      <c r="B5" s="65"/>
    </row>
    <row r="6" spans="1:9" ht="13.5" thickBot="1">
      <c r="A6" s="62"/>
      <c r="B6" s="65"/>
    </row>
    <row r="7" spans="1:9" ht="84.75" customHeight="1" thickBot="1">
      <c r="A7" s="513" t="s">
        <v>642</v>
      </c>
      <c r="B7" s="514"/>
      <c r="C7" s="514"/>
      <c r="D7" s="514"/>
      <c r="E7" s="514"/>
      <c r="F7" s="514"/>
      <c r="G7" s="514"/>
      <c r="H7" s="514"/>
      <c r="I7" s="515"/>
    </row>
    <row r="9" spans="1:9" ht="15">
      <c r="B9" s="114" t="s">
        <v>643</v>
      </c>
      <c r="E9" s="114" t="s">
        <v>644</v>
      </c>
    </row>
    <row r="11" spans="1:9">
      <c r="B11" s="61" t="s">
        <v>645</v>
      </c>
      <c r="C11" s="61" t="s">
        <v>6</v>
      </c>
      <c r="E11" s="61" t="s">
        <v>645</v>
      </c>
      <c r="F11" s="61" t="s">
        <v>6</v>
      </c>
    </row>
    <row r="12" spans="1:9">
      <c r="B12" s="61" t="s">
        <v>646</v>
      </c>
      <c r="C12" s="61" t="s">
        <v>657</v>
      </c>
      <c r="E12" s="61" t="s">
        <v>647</v>
      </c>
      <c r="F12" s="61">
        <v>2023</v>
      </c>
    </row>
    <row r="13" spans="1:9">
      <c r="B13" s="61" t="s">
        <v>648</v>
      </c>
      <c r="C13" s="118">
        <v>44985</v>
      </c>
      <c r="E13" s="61" t="s">
        <v>649</v>
      </c>
      <c r="F13" s="61">
        <v>2024</v>
      </c>
    </row>
    <row r="14" spans="1:9">
      <c r="B14" s="61" t="s">
        <v>650</v>
      </c>
      <c r="C14" s="61">
        <v>2023</v>
      </c>
      <c r="E14" s="61" t="s">
        <v>651</v>
      </c>
      <c r="F14" s="61">
        <v>2025</v>
      </c>
    </row>
    <row r="15" spans="1:9">
      <c r="B15" s="61" t="s">
        <v>652</v>
      </c>
      <c r="C15" s="61">
        <v>2058</v>
      </c>
      <c r="E15" s="61" t="s">
        <v>653</v>
      </c>
      <c r="F15" s="61">
        <v>2028</v>
      </c>
    </row>
    <row r="17" spans="2:3" ht="15">
      <c r="B17" s="114" t="s">
        <v>654</v>
      </c>
    </row>
    <row r="18" spans="2:3" ht="15">
      <c r="B18" s="114"/>
    </row>
    <row r="19" spans="2:3">
      <c r="B19" s="61" t="s">
        <v>655</v>
      </c>
      <c r="C19" s="61" t="s">
        <v>19</v>
      </c>
    </row>
    <row r="20" spans="2:3">
      <c r="B20" s="61">
        <v>0</v>
      </c>
      <c r="C20" s="61">
        <f>First_Year+Table39[[#This Row],[Year Number]]</f>
        <v>2023</v>
      </c>
    </row>
    <row r="21" spans="2:3">
      <c r="B21" s="61">
        <f>B20+1</f>
        <v>1</v>
      </c>
      <c r="C21" s="61">
        <f>First_Year+Table39[[#This Row],[Year Number]]</f>
        <v>2024</v>
      </c>
    </row>
    <row r="22" spans="2:3">
      <c r="B22" s="61">
        <f t="shared" ref="B22:B55" si="0">B21+1</f>
        <v>2</v>
      </c>
      <c r="C22" s="61">
        <f>First_Year+Table39[[#This Row],[Year Number]]</f>
        <v>2025</v>
      </c>
    </row>
    <row r="23" spans="2:3">
      <c r="B23" s="61">
        <f t="shared" si="0"/>
        <v>3</v>
      </c>
      <c r="C23" s="61">
        <f>First_Year+Table39[[#This Row],[Year Number]]</f>
        <v>2026</v>
      </c>
    </row>
    <row r="24" spans="2:3">
      <c r="B24" s="61">
        <f t="shared" si="0"/>
        <v>4</v>
      </c>
      <c r="C24" s="61">
        <f>First_Year+Table39[[#This Row],[Year Number]]</f>
        <v>2027</v>
      </c>
    </row>
    <row r="25" spans="2:3">
      <c r="B25" s="61">
        <f t="shared" si="0"/>
        <v>5</v>
      </c>
      <c r="C25" s="61">
        <f>First_Year+Table39[[#This Row],[Year Number]]</f>
        <v>2028</v>
      </c>
    </row>
    <row r="26" spans="2:3">
      <c r="B26" s="61">
        <f t="shared" si="0"/>
        <v>6</v>
      </c>
      <c r="C26" s="61">
        <f>First_Year+Table39[[#This Row],[Year Number]]</f>
        <v>2029</v>
      </c>
    </row>
    <row r="27" spans="2:3">
      <c r="B27" s="61">
        <f t="shared" si="0"/>
        <v>7</v>
      </c>
      <c r="C27" s="61">
        <f>First_Year+Table39[[#This Row],[Year Number]]</f>
        <v>2030</v>
      </c>
    </row>
    <row r="28" spans="2:3">
      <c r="B28" s="61">
        <f t="shared" si="0"/>
        <v>8</v>
      </c>
      <c r="C28" s="61">
        <f>First_Year+Table39[[#This Row],[Year Number]]</f>
        <v>2031</v>
      </c>
    </row>
    <row r="29" spans="2:3">
      <c r="B29" s="61">
        <f t="shared" si="0"/>
        <v>9</v>
      </c>
      <c r="C29" s="61">
        <f>First_Year+Table39[[#This Row],[Year Number]]</f>
        <v>2032</v>
      </c>
    </row>
    <row r="30" spans="2:3">
      <c r="B30" s="61">
        <f t="shared" si="0"/>
        <v>10</v>
      </c>
      <c r="C30" s="61">
        <f>First_Year+Table39[[#This Row],[Year Number]]</f>
        <v>2033</v>
      </c>
    </row>
    <row r="31" spans="2:3">
      <c r="B31" s="61">
        <f t="shared" si="0"/>
        <v>11</v>
      </c>
      <c r="C31" s="61">
        <f>First_Year+Table39[[#This Row],[Year Number]]</f>
        <v>2034</v>
      </c>
    </row>
    <row r="32" spans="2:3">
      <c r="B32" s="61">
        <f t="shared" si="0"/>
        <v>12</v>
      </c>
      <c r="C32" s="61">
        <f>First_Year+Table39[[#This Row],[Year Number]]</f>
        <v>2035</v>
      </c>
    </row>
    <row r="33" spans="2:3">
      <c r="B33" s="61">
        <f t="shared" si="0"/>
        <v>13</v>
      </c>
      <c r="C33" s="61">
        <f>First_Year+Table39[[#This Row],[Year Number]]</f>
        <v>2036</v>
      </c>
    </row>
    <row r="34" spans="2:3">
      <c r="B34" s="61">
        <f t="shared" si="0"/>
        <v>14</v>
      </c>
      <c r="C34" s="61">
        <f>First_Year+Table39[[#This Row],[Year Number]]</f>
        <v>2037</v>
      </c>
    </row>
    <row r="35" spans="2:3">
      <c r="B35" s="61">
        <f t="shared" si="0"/>
        <v>15</v>
      </c>
      <c r="C35" s="61">
        <f>First_Year+Table39[[#This Row],[Year Number]]</f>
        <v>2038</v>
      </c>
    </row>
    <row r="36" spans="2:3">
      <c r="B36" s="61">
        <f t="shared" si="0"/>
        <v>16</v>
      </c>
      <c r="C36" s="61">
        <f>First_Year+Table39[[#This Row],[Year Number]]</f>
        <v>2039</v>
      </c>
    </row>
    <row r="37" spans="2:3">
      <c r="B37" s="61">
        <f t="shared" si="0"/>
        <v>17</v>
      </c>
      <c r="C37" s="61">
        <f>First_Year+Table39[[#This Row],[Year Number]]</f>
        <v>2040</v>
      </c>
    </row>
    <row r="38" spans="2:3">
      <c r="B38" s="61">
        <f t="shared" si="0"/>
        <v>18</v>
      </c>
      <c r="C38" s="61">
        <f>First_Year+Table39[[#This Row],[Year Number]]</f>
        <v>2041</v>
      </c>
    </row>
    <row r="39" spans="2:3">
      <c r="B39" s="61">
        <f t="shared" si="0"/>
        <v>19</v>
      </c>
      <c r="C39" s="61">
        <f>First_Year+Table39[[#This Row],[Year Number]]</f>
        <v>2042</v>
      </c>
    </row>
    <row r="40" spans="2:3">
      <c r="B40" s="61">
        <f t="shared" si="0"/>
        <v>20</v>
      </c>
      <c r="C40" s="61">
        <f>First_Year+Table39[[#This Row],[Year Number]]</f>
        <v>2043</v>
      </c>
    </row>
    <row r="41" spans="2:3">
      <c r="B41" s="61">
        <f t="shared" si="0"/>
        <v>21</v>
      </c>
      <c r="C41" s="61">
        <f>First_Year+Table39[[#This Row],[Year Number]]</f>
        <v>2044</v>
      </c>
    </row>
    <row r="42" spans="2:3">
      <c r="B42" s="61">
        <f t="shared" si="0"/>
        <v>22</v>
      </c>
      <c r="C42" s="61">
        <f>First_Year+Table39[[#This Row],[Year Number]]</f>
        <v>2045</v>
      </c>
    </row>
    <row r="43" spans="2:3">
      <c r="B43" s="61">
        <f t="shared" si="0"/>
        <v>23</v>
      </c>
      <c r="C43" s="61">
        <f>First_Year+Table39[[#This Row],[Year Number]]</f>
        <v>2046</v>
      </c>
    </row>
    <row r="44" spans="2:3">
      <c r="B44" s="61">
        <f t="shared" si="0"/>
        <v>24</v>
      </c>
      <c r="C44" s="61">
        <f>First_Year+Table39[[#This Row],[Year Number]]</f>
        <v>2047</v>
      </c>
    </row>
    <row r="45" spans="2:3">
      <c r="B45" s="61">
        <f t="shared" si="0"/>
        <v>25</v>
      </c>
      <c r="C45" s="61">
        <f>First_Year+Table39[[#This Row],[Year Number]]</f>
        <v>2048</v>
      </c>
    </row>
    <row r="46" spans="2:3">
      <c r="B46" s="61">
        <f t="shared" si="0"/>
        <v>26</v>
      </c>
      <c r="C46" s="61">
        <f>First_Year+Table39[[#This Row],[Year Number]]</f>
        <v>2049</v>
      </c>
    </row>
    <row r="47" spans="2:3">
      <c r="B47" s="61">
        <f t="shared" si="0"/>
        <v>27</v>
      </c>
      <c r="C47" s="61">
        <f>First_Year+Table39[[#This Row],[Year Number]]</f>
        <v>2050</v>
      </c>
    </row>
    <row r="48" spans="2:3">
      <c r="B48" s="61">
        <f t="shared" si="0"/>
        <v>28</v>
      </c>
      <c r="C48" s="61">
        <f>First_Year+Table39[[#This Row],[Year Number]]</f>
        <v>2051</v>
      </c>
    </row>
    <row r="49" spans="2:3">
      <c r="B49" s="61">
        <f t="shared" si="0"/>
        <v>29</v>
      </c>
      <c r="C49" s="61">
        <f>First_Year+Table39[[#This Row],[Year Number]]</f>
        <v>2052</v>
      </c>
    </row>
    <row r="50" spans="2:3">
      <c r="B50" s="61">
        <f t="shared" si="0"/>
        <v>30</v>
      </c>
      <c r="C50" s="61">
        <f>First_Year+Table39[[#This Row],[Year Number]]</f>
        <v>2053</v>
      </c>
    </row>
    <row r="51" spans="2:3">
      <c r="B51" s="61">
        <f t="shared" si="0"/>
        <v>31</v>
      </c>
      <c r="C51" s="61">
        <f>First_Year+Table39[[#This Row],[Year Number]]</f>
        <v>2054</v>
      </c>
    </row>
    <row r="52" spans="2:3">
      <c r="B52" s="61">
        <f t="shared" si="0"/>
        <v>32</v>
      </c>
      <c r="C52" s="61">
        <f>First_Year+Table39[[#This Row],[Year Number]]</f>
        <v>2055</v>
      </c>
    </row>
    <row r="53" spans="2:3">
      <c r="B53" s="61">
        <f t="shared" si="0"/>
        <v>33</v>
      </c>
      <c r="C53" s="61">
        <f>First_Year+Table39[[#This Row],[Year Number]]</f>
        <v>2056</v>
      </c>
    </row>
    <row r="54" spans="2:3">
      <c r="B54" s="61">
        <f t="shared" si="0"/>
        <v>34</v>
      </c>
      <c r="C54" s="61">
        <f>First_Year+Table39[[#This Row],[Year Number]]</f>
        <v>2057</v>
      </c>
    </row>
    <row r="55" spans="2:3">
      <c r="B55" s="61">
        <f t="shared" si="0"/>
        <v>35</v>
      </c>
      <c r="C55" s="61">
        <f>First_Year+Table39[[#This Row],[Year Number]]</f>
        <v>2058</v>
      </c>
    </row>
  </sheetData>
  <mergeCells count="2">
    <mergeCell ref="A1:I1"/>
    <mergeCell ref="A7:I7"/>
  </mergeCells>
  <pageMargins left="0.7" right="0.7" top="0.75" bottom="0.75" header="0.3" footer="0.3"/>
  <pageSetup scale="47" orientation="portrait" r:id="rId1"/>
  <drawing r:id="rId2"/>
  <tableParts count="3">
    <tablePart r:id="rId3"/>
    <tablePart r:id="rId4"/>
    <tablePart r:id="rId5"/>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6567D3-60DB-446F-B20C-38B81C619F71}">
  <dimension ref="A1:K13"/>
  <sheetViews>
    <sheetView showGridLines="0" workbookViewId="0">
      <selection activeCell="B17" sqref="B17"/>
    </sheetView>
  </sheetViews>
  <sheetFormatPr defaultColWidth="9.140625" defaultRowHeight="14.25"/>
  <cols>
    <col min="1" max="1" width="19" style="106" customWidth="1"/>
    <col min="2" max="2" width="18.7109375" style="106" customWidth="1"/>
    <col min="3" max="3" width="19.28515625" style="106" customWidth="1"/>
    <col min="4" max="4" width="17" style="106" customWidth="1"/>
    <col min="5" max="5" width="13" style="106" customWidth="1"/>
    <col min="6" max="6" width="32.42578125" style="106" customWidth="1"/>
    <col min="7" max="7" width="17.85546875" style="106" customWidth="1"/>
    <col min="8" max="10" width="9.140625" style="106"/>
    <col min="11" max="11" width="9.7109375" style="106" customWidth="1"/>
    <col min="12" max="16384" width="9.140625" style="106"/>
  </cols>
  <sheetData>
    <row r="1" spans="1:11">
      <c r="A1" s="408" t="s">
        <v>53</v>
      </c>
      <c r="B1" s="409"/>
      <c r="C1" s="409"/>
      <c r="D1" s="409"/>
      <c r="E1" s="409"/>
      <c r="F1" s="409"/>
      <c r="G1" s="409"/>
      <c r="H1" s="409"/>
      <c r="I1" s="409"/>
      <c r="J1" s="409"/>
      <c r="K1" s="409"/>
    </row>
    <row r="2" spans="1:11">
      <c r="A2" s="87" t="s">
        <v>1</v>
      </c>
      <c r="B2" s="63" t="s">
        <v>54</v>
      </c>
      <c r="C2" s="82"/>
      <c r="D2" s="82"/>
      <c r="E2" s="82"/>
      <c r="F2" s="82"/>
      <c r="G2" s="82"/>
      <c r="H2" s="82"/>
      <c r="I2" s="82"/>
      <c r="J2" s="82"/>
      <c r="K2" s="82"/>
    </row>
    <row r="3" spans="1:11">
      <c r="A3" s="87" t="s">
        <v>3</v>
      </c>
      <c r="B3" s="88">
        <f ca="1">TODAY()</f>
        <v>44985</v>
      </c>
      <c r="C3" s="82"/>
      <c r="D3" s="82"/>
      <c r="E3" s="82"/>
      <c r="F3" s="82"/>
      <c r="G3" s="82"/>
      <c r="H3" s="82"/>
      <c r="I3" s="82"/>
      <c r="J3" s="82"/>
      <c r="K3" s="82"/>
    </row>
    <row r="4" spans="1:11" ht="24" customHeight="1" thickBot="1">
      <c r="A4" s="87"/>
      <c r="B4" s="107"/>
      <c r="C4" s="82"/>
      <c r="D4" s="82"/>
      <c r="E4" s="82"/>
      <c r="F4" s="82"/>
      <c r="G4" s="82"/>
      <c r="H4" s="82"/>
      <c r="I4" s="82"/>
      <c r="J4" s="82"/>
      <c r="K4" s="82"/>
    </row>
    <row r="5" spans="1:11" ht="257.25" customHeight="1" thickBot="1">
      <c r="A5" s="410" t="s">
        <v>55</v>
      </c>
      <c r="B5" s="411"/>
      <c r="C5" s="411"/>
      <c r="D5" s="411"/>
      <c r="E5" s="411"/>
      <c r="F5" s="411"/>
      <c r="G5" s="411"/>
      <c r="H5" s="411"/>
      <c r="I5" s="411"/>
      <c r="J5" s="411"/>
      <c r="K5" s="412"/>
    </row>
    <row r="7" spans="1:11">
      <c r="B7" s="108" t="s">
        <v>56</v>
      </c>
      <c r="C7" s="108"/>
      <c r="D7" s="108"/>
      <c r="E7" s="108"/>
    </row>
    <row r="8" spans="1:11" s="109" customFormat="1" ht="25.5">
      <c r="B8" s="89" t="s">
        <v>57</v>
      </c>
      <c r="C8" s="89" t="s">
        <v>58</v>
      </c>
      <c r="D8" s="89" t="s">
        <v>59</v>
      </c>
      <c r="E8" s="89" t="s">
        <v>60</v>
      </c>
    </row>
    <row r="9" spans="1:11">
      <c r="B9" s="81" t="s">
        <v>61</v>
      </c>
      <c r="C9" s="68">
        <f ca="1">'ES-2. B&amp;C Summary Backup'!C52-'ES-2. B&amp;C Summary Backup'!C17</f>
        <v>158777601.29700005</v>
      </c>
      <c r="D9" s="68">
        <f ca="1">C9*0.06</f>
        <v>9526656.077820003</v>
      </c>
      <c r="E9" s="93">
        <f ca="1">D9/C9</f>
        <v>0.06</v>
      </c>
    </row>
    <row r="10" spans="1:11" ht="28.5">
      <c r="B10" s="81" t="s">
        <v>62</v>
      </c>
      <c r="C10" s="68">
        <f>'ES-2. B&amp;C Summary Backup'!D52-'ES-2. B&amp;C Summary Backup'!D17</f>
        <v>245265.04999998483</v>
      </c>
      <c r="D10" s="68">
        <f>C10*0.23</f>
        <v>56410.961499996512</v>
      </c>
      <c r="E10" s="93">
        <f>D10/C10</f>
        <v>0.23</v>
      </c>
    </row>
    <row r="11" spans="1:11" ht="28.5">
      <c r="B11" s="81" t="s">
        <v>63</v>
      </c>
      <c r="C11" s="68">
        <f>'ES-2. B&amp;C Summary Backup'!E52-'ES-2. B&amp;C Summary Backup'!E17</f>
        <v>871123.13333331607</v>
      </c>
      <c r="D11" s="68">
        <f>C11*0.23</f>
        <v>200358.32066666271</v>
      </c>
      <c r="E11" s="93">
        <f>D11/C11</f>
        <v>0.23</v>
      </c>
    </row>
    <row r="12" spans="1:11">
      <c r="B12" s="110" t="s">
        <v>64</v>
      </c>
      <c r="C12" s="95">
        <f>'ES-2. B&amp;C Summary Backup'!F52-'ES-2. B&amp;C Summary Backup'!F17</f>
        <v>45941366.114119709</v>
      </c>
      <c r="D12" s="95" t="e">
        <f>C12*'3B. TTS Backup 2028'!#REF!</f>
        <v>#REF!</v>
      </c>
      <c r="E12" s="111" t="e">
        <f>D12/C12</f>
        <v>#REF!</v>
      </c>
    </row>
    <row r="13" spans="1:11">
      <c r="C13" s="68">
        <f ca="1">SUM(C9:C12)</f>
        <v>205835355.59445307</v>
      </c>
      <c r="D13" s="68" t="e">
        <f t="shared" ref="D13" ca="1" si="0">SUM(D9:D12)</f>
        <v>#REF!</v>
      </c>
      <c r="E13" s="93" t="e">
        <f ca="1">D13/C13</f>
        <v>#REF!</v>
      </c>
    </row>
  </sheetData>
  <mergeCells count="2">
    <mergeCell ref="A1:K1"/>
    <mergeCell ref="A5:K5"/>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pageSetUpPr fitToPage="1"/>
  </sheetPr>
  <dimension ref="A1:I132"/>
  <sheetViews>
    <sheetView showGridLines="0" view="pageBreakPreview" zoomScale="60" zoomScaleNormal="80" workbookViewId="0">
      <selection activeCell="A3" sqref="A3:XFD3"/>
    </sheetView>
  </sheetViews>
  <sheetFormatPr defaultColWidth="9.140625" defaultRowHeight="12.75"/>
  <cols>
    <col min="1" max="1" width="21.7109375" style="81" customWidth="1"/>
    <col min="2" max="2" width="29.28515625" style="81" customWidth="1"/>
    <col min="3" max="3" width="7.85546875" style="81" hidden="1" customWidth="1"/>
    <col min="4" max="8" width="21.85546875" style="81" customWidth="1"/>
    <col min="9" max="9" width="21.7109375" style="81" customWidth="1"/>
    <col min="10" max="10" width="12.5703125" style="81" bestFit="1" customWidth="1"/>
    <col min="11" max="16384" width="9.140625" style="81"/>
  </cols>
  <sheetData>
    <row r="1" spans="1:9" ht="15" customHeight="1">
      <c r="A1" s="414" t="s">
        <v>65</v>
      </c>
      <c r="B1" s="414"/>
      <c r="C1" s="414"/>
      <c r="D1" s="414"/>
      <c r="E1" s="414"/>
      <c r="F1" s="414"/>
      <c r="G1" s="414"/>
      <c r="H1" s="414"/>
      <c r="I1" s="414"/>
    </row>
    <row r="2" spans="1:9" ht="15" customHeight="1">
      <c r="A2" s="99" t="s">
        <v>1</v>
      </c>
      <c r="B2" s="71" t="str">
        <f>Project_Name</f>
        <v>Right-Sizing Route 37: Improving Community Connectivity</v>
      </c>
    </row>
    <row r="3" spans="1:9" ht="15" hidden="1" customHeight="1">
      <c r="A3" s="99" t="s">
        <v>2</v>
      </c>
      <c r="B3" s="71"/>
    </row>
    <row r="4" spans="1:9" ht="15" customHeight="1">
      <c r="A4" s="99" t="s">
        <v>3</v>
      </c>
      <c r="B4" s="100">
        <f>Date</f>
        <v>44985</v>
      </c>
    </row>
    <row r="5" spans="1:9" ht="18.75" customHeight="1">
      <c r="A5" s="99"/>
      <c r="B5" s="100"/>
    </row>
    <row r="6" spans="1:9" ht="13.5" thickBot="1">
      <c r="A6" s="99"/>
      <c r="B6" s="101"/>
    </row>
    <row r="7" spans="1:9" ht="69.95" customHeight="1">
      <c r="A7" s="415" t="s">
        <v>677</v>
      </c>
      <c r="B7" s="416"/>
      <c r="C7" s="416"/>
      <c r="D7" s="416"/>
      <c r="E7" s="416"/>
      <c r="F7" s="416"/>
      <c r="G7" s="416"/>
      <c r="H7" s="416"/>
      <c r="I7" s="417"/>
    </row>
    <row r="8" spans="1:9" ht="69.95" customHeight="1">
      <c r="A8" s="418"/>
      <c r="B8" s="419"/>
      <c r="C8" s="419"/>
      <c r="D8" s="419"/>
      <c r="E8" s="419"/>
      <c r="F8" s="419"/>
      <c r="G8" s="419"/>
      <c r="H8" s="419"/>
      <c r="I8" s="420"/>
    </row>
    <row r="9" spans="1:9" ht="69.95" customHeight="1">
      <c r="A9" s="418"/>
      <c r="B9" s="419"/>
      <c r="C9" s="419"/>
      <c r="D9" s="419"/>
      <c r="E9" s="419"/>
      <c r="F9" s="419"/>
      <c r="G9" s="419"/>
      <c r="H9" s="419"/>
      <c r="I9" s="420"/>
    </row>
    <row r="10" spans="1:9" ht="69.75" customHeight="1">
      <c r="A10" s="418"/>
      <c r="B10" s="419"/>
      <c r="C10" s="419"/>
      <c r="D10" s="419"/>
      <c r="E10" s="419"/>
      <c r="F10" s="419"/>
      <c r="G10" s="419"/>
      <c r="H10" s="419"/>
      <c r="I10" s="420"/>
    </row>
    <row r="11" spans="1:9" ht="9.75" customHeight="1" thickBot="1">
      <c r="A11" s="421"/>
      <c r="B11" s="422"/>
      <c r="C11" s="422"/>
      <c r="D11" s="422"/>
      <c r="E11" s="422"/>
      <c r="F11" s="422"/>
      <c r="G11" s="422"/>
      <c r="H11" s="422"/>
      <c r="I11" s="423"/>
    </row>
    <row r="12" spans="1:9">
      <c r="A12" s="103"/>
      <c r="B12" s="104"/>
      <c r="C12" s="104"/>
      <c r="D12" s="104"/>
      <c r="E12" s="104"/>
      <c r="F12" s="104"/>
      <c r="G12" s="104"/>
      <c r="H12" s="104"/>
    </row>
    <row r="13" spans="1:9">
      <c r="A13" s="103"/>
      <c r="B13" s="104"/>
      <c r="C13" s="104"/>
      <c r="D13" s="104"/>
      <c r="E13" s="104"/>
      <c r="F13" s="104"/>
      <c r="G13" s="104"/>
      <c r="H13" s="104"/>
    </row>
    <row r="14" spans="1:9" ht="15" customHeight="1">
      <c r="B14" s="91" t="s">
        <v>66</v>
      </c>
      <c r="D14" s="424" t="s">
        <v>67</v>
      </c>
      <c r="E14" s="425"/>
      <c r="F14" s="425"/>
      <c r="G14" s="425"/>
      <c r="H14" s="426"/>
    </row>
    <row r="15" spans="1:9" ht="15" customHeight="1">
      <c r="B15" s="91" t="s">
        <v>68</v>
      </c>
      <c r="D15" s="424" t="s">
        <v>69</v>
      </c>
      <c r="E15" s="425"/>
      <c r="F15" s="425"/>
      <c r="G15" s="425"/>
      <c r="H15" s="426"/>
    </row>
    <row r="16" spans="1:9">
      <c r="B16" s="90"/>
      <c r="C16" s="119"/>
      <c r="D16" s="119"/>
      <c r="E16" s="119"/>
      <c r="F16" s="119"/>
      <c r="G16" s="119"/>
      <c r="H16" s="119"/>
    </row>
    <row r="17" spans="2:8" ht="25.5">
      <c r="B17" s="123" t="s">
        <v>70</v>
      </c>
      <c r="C17" s="123" t="s">
        <v>71</v>
      </c>
      <c r="D17" s="123" t="s">
        <v>72</v>
      </c>
      <c r="E17" s="123" t="s">
        <v>73</v>
      </c>
      <c r="F17" s="123" t="s">
        <v>74</v>
      </c>
      <c r="G17" s="123" t="s">
        <v>75</v>
      </c>
      <c r="H17" s="123" t="s">
        <v>76</v>
      </c>
    </row>
    <row r="18" spans="2:8">
      <c r="B18" s="128" t="s">
        <v>77</v>
      </c>
      <c r="C18" s="205"/>
      <c r="D18" s="378">
        <v>58.750999999999998</v>
      </c>
      <c r="E18" s="378">
        <v>-0.109</v>
      </c>
      <c r="F18" s="178">
        <f>Table1.1_Safety1[[#This Row],[No-Build Predicted Crashes]]*Table1.1_Safety1[[#This Row],[Crash Reduction Factor]]</f>
        <v>-6.4038589999999997</v>
      </c>
      <c r="G18" s="176">
        <f>VLOOKUP(Table1.1_Safety1[[#This Row],[Crash Severity]],TableA1_KABCO[],2,FALSE)</f>
        <v>4000</v>
      </c>
      <c r="H18" s="176">
        <f t="shared" ref="H18:H19" si="0">G18*F18</f>
        <v>-25615.435999999998</v>
      </c>
    </row>
    <row r="19" spans="2:8">
      <c r="B19" s="128" t="s">
        <v>78</v>
      </c>
      <c r="C19" s="205"/>
      <c r="D19" s="378">
        <v>30.986999999999998</v>
      </c>
      <c r="E19" s="378">
        <v>0.2</v>
      </c>
      <c r="F19" s="379">
        <f>Table1.1_Safety1[[#This Row],[No-Build Predicted Crashes]]*Table1.1_Safety1[[#This Row],[Crash Reduction Factor]]</f>
        <v>6.1974</v>
      </c>
      <c r="G19" s="176">
        <f>VLOOKUP(Table1.1_Safety1[[#This Row],[Crash Severity]],TableA1_KABCO[],2,FALSE)</f>
        <v>78500</v>
      </c>
      <c r="H19" s="176">
        <f t="shared" si="0"/>
        <v>486495.9</v>
      </c>
    </row>
    <row r="20" spans="2:8">
      <c r="B20" s="128" t="s">
        <v>79</v>
      </c>
      <c r="C20" s="205"/>
      <c r="D20" s="378">
        <v>3.8769999999999998</v>
      </c>
      <c r="E20" s="378">
        <v>0.2</v>
      </c>
      <c r="F20" s="379">
        <f>Table1.1_Safety1[[#This Row],[No-Build Predicted Crashes]]*Table1.1_Safety1[[#This Row],[Crash Reduction Factor]]</f>
        <v>0.77539999999999998</v>
      </c>
      <c r="G20" s="176">
        <f>VLOOKUP(Table1.1_Safety1[[#This Row],[Crash Severity]],TableA1_KABCO[],2,FALSE)</f>
        <v>153700</v>
      </c>
      <c r="H20" s="176">
        <f>G20*F20</f>
        <v>119178.98</v>
      </c>
    </row>
    <row r="21" spans="2:8">
      <c r="B21" s="128" t="s">
        <v>80</v>
      </c>
      <c r="C21" s="205"/>
      <c r="D21" s="378">
        <v>1.4219999999999999</v>
      </c>
      <c r="E21" s="378">
        <v>0.2</v>
      </c>
      <c r="F21" s="379">
        <f>Table1.1_Safety1[[#This Row],[No-Build Predicted Crashes]]*Table1.1_Safety1[[#This Row],[Crash Reduction Factor]]</f>
        <v>0.28439999999999999</v>
      </c>
      <c r="G21" s="176">
        <f>VLOOKUP(Table1.1_Safety1[[#This Row],[Crash Severity]],TableA1_KABCO[],2,FALSE)</f>
        <v>564300</v>
      </c>
      <c r="H21" s="176">
        <f t="shared" ref="H21:H22" si="1">G21*F21</f>
        <v>160486.91999999998</v>
      </c>
    </row>
    <row r="22" spans="2:8">
      <c r="B22" s="128" t="s">
        <v>81</v>
      </c>
      <c r="C22" s="205"/>
      <c r="D22" s="378">
        <v>0.25600000000000001</v>
      </c>
      <c r="E22" s="378">
        <v>0.2</v>
      </c>
      <c r="F22" s="379">
        <f>Table1.1_Safety1[[#This Row],[No-Build Predicted Crashes]]*Table1.1_Safety1[[#This Row],[Crash Reduction Factor]]</f>
        <v>5.1200000000000002E-2</v>
      </c>
      <c r="G22" s="176">
        <f>VLOOKUP(Table1.1_Safety1[[#This Row],[Crash Severity]],TableA1_KABCO[],2,FALSE)</f>
        <v>11800000</v>
      </c>
      <c r="H22" s="176">
        <f t="shared" si="1"/>
        <v>604160</v>
      </c>
    </row>
    <row r="23" spans="2:8">
      <c r="B23" s="128" t="s">
        <v>82</v>
      </c>
      <c r="C23" s="205"/>
      <c r="D23" s="205">
        <f>C23/7</f>
        <v>0</v>
      </c>
      <c r="E23" s="205"/>
      <c r="F23" s="178">
        <f>Table1.1_Safety1[[#This Row],[No-Build Predicted Crashes]]*Table1.1_Safety1[[#This Row],[Crash Reduction Factor]]</f>
        <v>0</v>
      </c>
      <c r="G23" s="176">
        <f>VLOOKUP(Table1.1_Safety1[[#This Row],[Crash Severity]],TableA1_KABCO[],2,FALSE)</f>
        <v>213900</v>
      </c>
      <c r="H23" s="176">
        <f>G23*F23</f>
        <v>0</v>
      </c>
    </row>
    <row r="24" spans="2:8" ht="25.5">
      <c r="B24" s="128" t="s">
        <v>83</v>
      </c>
      <c r="C24" s="205"/>
      <c r="D24" s="205">
        <f t="shared" ref="D24:D26" si="2">C24</f>
        <v>0</v>
      </c>
      <c r="E24" s="205"/>
      <c r="F24" s="178">
        <f>Table1.1_Safety1[[#This Row],[No-Build Predicted Crashes]]*Table1.1_Safety1[[#This Row],[Crash Reduction Factor]]</f>
        <v>0</v>
      </c>
      <c r="G24" s="176">
        <f>VLOOKUP(Table1.1_Safety1[[#This Row],[Crash Severity]],TableA1_KABCO[],2,FALSE)</f>
        <v>162600</v>
      </c>
      <c r="H24" s="176">
        <f>G24*F24</f>
        <v>0</v>
      </c>
    </row>
    <row r="25" spans="2:8">
      <c r="B25" s="128" t="s">
        <v>84</v>
      </c>
      <c r="C25" s="205"/>
      <c r="D25" s="205">
        <f t="shared" si="2"/>
        <v>0</v>
      </c>
      <c r="E25" s="205"/>
      <c r="F25" s="178">
        <f>Table1.1_Safety1[[#This Row],[No-Build Predicted Crashes]]*Table1.1_Safety1[[#This Row],[Crash Reduction Factor]]</f>
        <v>0</v>
      </c>
      <c r="G25" s="176">
        <f>VLOOKUP(Table1.1_Safety1[[#This Row],[Crash Severity]],TableA1_KABCO[],2,FALSE)</f>
        <v>307800</v>
      </c>
      <c r="H25" s="176">
        <f>G25*F25</f>
        <v>0</v>
      </c>
    </row>
    <row r="26" spans="2:8">
      <c r="B26" s="128" t="s">
        <v>85</v>
      </c>
      <c r="C26" s="205"/>
      <c r="D26" s="205">
        <f t="shared" si="2"/>
        <v>0</v>
      </c>
      <c r="E26" s="205"/>
      <c r="F26" s="178">
        <f>Table1.1_Safety1[[#This Row],[No-Build Predicted Crashes]]*Table1.1_Safety1[[#This Row],[Crash Reduction Factor]]</f>
        <v>0</v>
      </c>
      <c r="G26" s="176">
        <f>VLOOKUP(Table1.1_Safety1[[#This Row],[Crash Severity]],TableA1_KABCO[],2,FALSE)</f>
        <v>13046800</v>
      </c>
      <c r="H26" s="176">
        <f>G26*F26</f>
        <v>0</v>
      </c>
    </row>
    <row r="27" spans="2:8">
      <c r="B27" s="89" t="s">
        <v>26</v>
      </c>
      <c r="C27" s="59">
        <f>SUBTOTAL(109,Table1.1_Safety1[Column1])</f>
        <v>0</v>
      </c>
      <c r="D27" s="59">
        <f>SUBTOTAL(109,Table1.1_Safety1[No-Build Predicted Crashes])</f>
        <v>95.292999999999992</v>
      </c>
      <c r="E27" s="59">
        <f>Table1.1_Safety1[[#Totals],[Predicted Annual Crash Reduction]]/Table1.1_Safety1[[#Totals],[No-Build Predicted Crashes]]</f>
        <v>9.4922082419485205E-3</v>
      </c>
      <c r="F27" s="59">
        <f>SUBTOTAL(109,Table1.1_Safety1[Predicted Annual Crash Reduction])</f>
        <v>0.90454100000000026</v>
      </c>
      <c r="G27" s="59"/>
      <c r="H27" s="225">
        <f>SUBTOTAL(109,Table1.1_Safety1[Annual Savings])</f>
        <v>1344706.3640000001</v>
      </c>
    </row>
    <row r="28" spans="2:8">
      <c r="G28" s="91"/>
      <c r="H28" s="105"/>
    </row>
    <row r="29" spans="2:8">
      <c r="G29" s="91"/>
      <c r="H29" s="105"/>
    </row>
    <row r="30" spans="2:8" ht="15" customHeight="1">
      <c r="B30" s="91" t="s">
        <v>86</v>
      </c>
      <c r="D30" s="427" t="s">
        <v>87</v>
      </c>
      <c r="E30" s="428"/>
      <c r="F30" s="428"/>
      <c r="G30" s="428"/>
      <c r="H30" s="429"/>
    </row>
    <row r="31" spans="2:8" ht="15" customHeight="1">
      <c r="B31" s="91" t="s">
        <v>68</v>
      </c>
      <c r="D31" s="427" t="s">
        <v>88</v>
      </c>
      <c r="E31" s="428"/>
      <c r="F31" s="428"/>
      <c r="G31" s="428"/>
      <c r="H31" s="429"/>
    </row>
    <row r="32" spans="2:8">
      <c r="B32" s="90"/>
      <c r="C32" s="119"/>
      <c r="D32" s="119"/>
      <c r="E32" s="119"/>
      <c r="F32" s="119"/>
      <c r="G32" s="119"/>
      <c r="H32" s="119"/>
    </row>
    <row r="33" spans="2:8" ht="25.5">
      <c r="B33" s="123" t="s">
        <v>70</v>
      </c>
      <c r="C33" s="123" t="s">
        <v>71</v>
      </c>
      <c r="D33" s="123" t="s">
        <v>72</v>
      </c>
      <c r="E33" s="123" t="s">
        <v>73</v>
      </c>
      <c r="F33" s="123" t="s">
        <v>74</v>
      </c>
      <c r="G33" s="123" t="s">
        <v>75</v>
      </c>
      <c r="H33" s="123" t="s">
        <v>76</v>
      </c>
    </row>
    <row r="34" spans="2:8">
      <c r="B34" s="128" t="s">
        <v>77</v>
      </c>
      <c r="C34" s="205"/>
      <c r="D34" s="205">
        <v>50.567</v>
      </c>
      <c r="E34" s="205">
        <v>0.45</v>
      </c>
      <c r="F34" s="178">
        <f>D34*E34</f>
        <v>22.75515</v>
      </c>
      <c r="G34" s="176">
        <f>VLOOKUP(Table1.2_Safety2[[#This Row],[Crash Severity]],TableA1_KABCO[],2,FALSE)</f>
        <v>4000</v>
      </c>
      <c r="H34" s="176">
        <f t="shared" ref="H34:H35" si="3">G34*F34</f>
        <v>91020.6</v>
      </c>
    </row>
    <row r="35" spans="2:8">
      <c r="B35" s="128" t="s">
        <v>78</v>
      </c>
      <c r="C35" s="205"/>
      <c r="D35" s="205">
        <v>27.263000000000002</v>
      </c>
      <c r="E35" s="205">
        <v>0.51</v>
      </c>
      <c r="F35" s="178">
        <f t="shared" ref="F35:F38" si="4">D35*E35</f>
        <v>13.90413</v>
      </c>
      <c r="G35" s="176">
        <f>VLOOKUP(Table1.2_Safety2[[#This Row],[Crash Severity]],TableA1_KABCO[],2,FALSE)</f>
        <v>78500</v>
      </c>
      <c r="H35" s="176">
        <f t="shared" si="3"/>
        <v>1091474.2050000001</v>
      </c>
    </row>
    <row r="36" spans="2:8">
      <c r="B36" s="128" t="s">
        <v>79</v>
      </c>
      <c r="C36" s="205"/>
      <c r="D36" s="205">
        <v>3.407</v>
      </c>
      <c r="E36" s="205">
        <v>0.51</v>
      </c>
      <c r="F36" s="178">
        <f t="shared" si="4"/>
        <v>1.7375700000000001</v>
      </c>
      <c r="G36" s="176">
        <f>VLOOKUP(Table1.2_Safety2[[#This Row],[Crash Severity]],TableA1_KABCO[],2,FALSE)</f>
        <v>153700</v>
      </c>
      <c r="H36" s="176">
        <f>G36*F36</f>
        <v>267064.50900000002</v>
      </c>
    </row>
    <row r="37" spans="2:8">
      <c r="B37" s="128" t="s">
        <v>80</v>
      </c>
      <c r="C37" s="205"/>
      <c r="D37" s="205">
        <v>1.258</v>
      </c>
      <c r="E37" s="205">
        <v>0.51</v>
      </c>
      <c r="F37" s="178">
        <f t="shared" si="4"/>
        <v>0.64158000000000004</v>
      </c>
      <c r="G37" s="176">
        <f>VLOOKUP(Table1.2_Safety2[[#This Row],[Crash Severity]],TableA1_KABCO[],2,FALSE)</f>
        <v>564300</v>
      </c>
      <c r="H37" s="176">
        <f t="shared" ref="H37:H38" si="5">G37*F37</f>
        <v>362043.59400000004</v>
      </c>
    </row>
    <row r="38" spans="2:8">
      <c r="B38" s="128" t="s">
        <v>81</v>
      </c>
      <c r="C38" s="205"/>
      <c r="D38" s="205">
        <v>0.22500000000000001</v>
      </c>
      <c r="E38" s="205">
        <v>0.51</v>
      </c>
      <c r="F38" s="178">
        <f t="shared" si="4"/>
        <v>0.11475</v>
      </c>
      <c r="G38" s="176">
        <f>VLOOKUP(Table1.2_Safety2[[#This Row],[Crash Severity]],TableA1_KABCO[],2,FALSE)</f>
        <v>11800000</v>
      </c>
      <c r="H38" s="176">
        <f t="shared" si="5"/>
        <v>1354050</v>
      </c>
    </row>
    <row r="39" spans="2:8">
      <c r="B39" s="128" t="s">
        <v>82</v>
      </c>
      <c r="C39" s="205"/>
      <c r="D39" s="205">
        <f>C39/7</f>
        <v>0</v>
      </c>
      <c r="E39" s="205"/>
      <c r="F39" s="178">
        <f>D39*E39</f>
        <v>0</v>
      </c>
      <c r="G39" s="176">
        <f>VLOOKUP(Table1.2_Safety2[[#This Row],[Crash Severity]],TableA1_KABCO[],2,FALSE)</f>
        <v>213900</v>
      </c>
      <c r="H39" s="176">
        <f>G39*F39</f>
        <v>0</v>
      </c>
    </row>
    <row r="40" spans="2:8" ht="25.5">
      <c r="B40" s="128" t="s">
        <v>83</v>
      </c>
      <c r="C40" s="205"/>
      <c r="D40" s="205">
        <f>C40/7</f>
        <v>0</v>
      </c>
      <c r="E40" s="205"/>
      <c r="F40" s="178">
        <f>D40*E40</f>
        <v>0</v>
      </c>
      <c r="G40" s="176">
        <f>VLOOKUP(Table1.2_Safety2[[#This Row],[Crash Severity]],TableA1_KABCO[],2,FALSE)</f>
        <v>162600</v>
      </c>
      <c r="H40" s="176">
        <f>G40*F40</f>
        <v>0</v>
      </c>
    </row>
    <row r="41" spans="2:8">
      <c r="B41" s="128" t="s">
        <v>84</v>
      </c>
      <c r="C41" s="205"/>
      <c r="D41" s="205">
        <f>C41/7</f>
        <v>0</v>
      </c>
      <c r="E41" s="205"/>
      <c r="F41" s="178">
        <f>D41*E41</f>
        <v>0</v>
      </c>
      <c r="G41" s="176">
        <f>VLOOKUP(Table1.2_Safety2[[#This Row],[Crash Severity]],TableA1_KABCO[],2,FALSE)</f>
        <v>307800</v>
      </c>
      <c r="H41" s="176">
        <f>G41*F41</f>
        <v>0</v>
      </c>
    </row>
    <row r="42" spans="2:8">
      <c r="B42" s="128" t="s">
        <v>85</v>
      </c>
      <c r="C42" s="205"/>
      <c r="D42" s="205">
        <f>C42/7</f>
        <v>0</v>
      </c>
      <c r="E42" s="205"/>
      <c r="F42" s="178">
        <f>D42*E42</f>
        <v>0</v>
      </c>
      <c r="G42" s="176">
        <f>VLOOKUP(Table1.2_Safety2[[#This Row],[Crash Severity]],TableA1_KABCO[],2,FALSE)</f>
        <v>13046800</v>
      </c>
      <c r="H42" s="176">
        <f>G42*F42</f>
        <v>0</v>
      </c>
    </row>
    <row r="43" spans="2:8">
      <c r="B43" s="89" t="s">
        <v>26</v>
      </c>
      <c r="C43" s="59">
        <f>SUBTOTAL(109,Table1.2_Safety2[Column1])</f>
        <v>0</v>
      </c>
      <c r="D43" s="59">
        <f>SUBTOTAL(109,Table1.2_Safety2[No-Build Predicted Crashes])</f>
        <v>82.719999999999985</v>
      </c>
      <c r="E43" s="59">
        <f>Table1.2_Safety2[[#Totals],[Predicted Annual Crash Reduction]]/Table1.2_Safety2[[#Totals],[No-Build Predicted Crashes]]</f>
        <v>0.47332180851063838</v>
      </c>
      <c r="F43" s="59">
        <f>SUBTOTAL(109,Table1.2_Safety2[Predicted Annual Crash Reduction])</f>
        <v>39.153179999999999</v>
      </c>
      <c r="G43" s="59"/>
      <c r="H43" s="225">
        <f>SUBTOTAL(109,Table1.2_Safety2[Annual Savings])</f>
        <v>3165652.9080000003</v>
      </c>
    </row>
    <row r="44" spans="2:8">
      <c r="B44" s="90"/>
      <c r="C44" s="90"/>
      <c r="D44" s="90"/>
      <c r="E44" s="90"/>
      <c r="F44" s="90"/>
      <c r="G44" s="91"/>
      <c r="H44" s="120"/>
    </row>
    <row r="45" spans="2:8">
      <c r="B45" s="90"/>
      <c r="C45" s="90"/>
      <c r="D45" s="90"/>
      <c r="E45" s="90"/>
      <c r="F45" s="90"/>
      <c r="G45" s="91"/>
      <c r="H45" s="120"/>
    </row>
    <row r="46" spans="2:8" ht="14.25" customHeight="1">
      <c r="B46" s="91" t="s">
        <v>89</v>
      </c>
      <c r="D46" s="424" t="s">
        <v>90</v>
      </c>
      <c r="E46" s="425"/>
      <c r="F46" s="425"/>
      <c r="G46" s="425"/>
      <c r="H46" s="426"/>
    </row>
    <row r="47" spans="2:8" ht="15" customHeight="1">
      <c r="B47" s="91" t="s">
        <v>68</v>
      </c>
      <c r="D47" s="424" t="s">
        <v>91</v>
      </c>
      <c r="E47" s="425"/>
      <c r="F47" s="425"/>
      <c r="G47" s="425"/>
      <c r="H47" s="426"/>
    </row>
    <row r="48" spans="2:8">
      <c r="B48" s="90"/>
      <c r="C48" s="119"/>
      <c r="D48" s="119"/>
      <c r="E48" s="119"/>
      <c r="F48" s="119"/>
      <c r="G48" s="119"/>
      <c r="H48" s="119"/>
    </row>
    <row r="49" spans="2:8" ht="25.5">
      <c r="B49" s="123" t="s">
        <v>70</v>
      </c>
      <c r="C49" s="123" t="s">
        <v>71</v>
      </c>
      <c r="D49" s="123" t="s">
        <v>72</v>
      </c>
      <c r="E49" s="123" t="s">
        <v>73</v>
      </c>
      <c r="F49" s="123" t="s">
        <v>74</v>
      </c>
      <c r="G49" s="123" t="s">
        <v>75</v>
      </c>
      <c r="H49" s="123" t="s">
        <v>76</v>
      </c>
    </row>
    <row r="50" spans="2:8">
      <c r="B50" s="128" t="s">
        <v>77</v>
      </c>
      <c r="C50" s="205"/>
      <c r="D50" s="205">
        <v>100.3</v>
      </c>
      <c r="E50" s="205">
        <v>-0.06</v>
      </c>
      <c r="F50" s="178">
        <f>D50*E50</f>
        <v>-6.0179999999999998</v>
      </c>
      <c r="G50" s="176">
        <f>VLOOKUP(Table1.3_Safety3[[#This Row],[Crash Severity]],TableA1_KABCO[],2,FALSE)</f>
        <v>4000</v>
      </c>
      <c r="H50" s="176">
        <f t="shared" ref="H50:H51" si="6">G50*F50</f>
        <v>-24072</v>
      </c>
    </row>
    <row r="51" spans="2:8">
      <c r="B51" s="128" t="s">
        <v>78</v>
      </c>
      <c r="C51" s="205"/>
      <c r="D51" s="205">
        <v>21.4544</v>
      </c>
      <c r="E51" s="205">
        <v>0.17</v>
      </c>
      <c r="F51" s="178">
        <f t="shared" ref="F51:F54" si="7">D51*E51</f>
        <v>3.6472480000000003</v>
      </c>
      <c r="G51" s="176">
        <f>VLOOKUP(Table1.3_Safety3[[#This Row],[Crash Severity]],TableA1_KABCO[],2,FALSE)</f>
        <v>78500</v>
      </c>
      <c r="H51" s="176">
        <f t="shared" si="6"/>
        <v>286308.96799999999</v>
      </c>
    </row>
    <row r="52" spans="2:8">
      <c r="B52" s="128" t="s">
        <v>79</v>
      </c>
      <c r="C52" s="205"/>
      <c r="D52" s="205">
        <v>2.6818</v>
      </c>
      <c r="E52" s="205">
        <v>0.17</v>
      </c>
      <c r="F52" s="178">
        <f t="shared" si="7"/>
        <v>0.45590600000000003</v>
      </c>
      <c r="G52" s="176">
        <f>VLOOKUP(Table1.3_Safety3[[#This Row],[Crash Severity]],TableA1_KABCO[],2,FALSE)</f>
        <v>153700</v>
      </c>
      <c r="H52" s="176">
        <f>G52*F52</f>
        <v>70072.752200000003</v>
      </c>
    </row>
    <row r="53" spans="2:8">
      <c r="B53" s="128" t="s">
        <v>80</v>
      </c>
      <c r="C53" s="205"/>
      <c r="D53" s="205">
        <v>0.98670000000000002</v>
      </c>
      <c r="E53" s="205">
        <v>0.17</v>
      </c>
      <c r="F53" s="178">
        <f t="shared" si="7"/>
        <v>0.16773900000000003</v>
      </c>
      <c r="G53" s="176">
        <f>VLOOKUP(Table1.3_Safety3[[#This Row],[Crash Severity]],TableA1_KABCO[],2,FALSE)</f>
        <v>564300</v>
      </c>
      <c r="H53" s="176">
        <f t="shared" ref="H53:H54" si="8">G53*F53</f>
        <v>94655.117700000017</v>
      </c>
    </row>
    <row r="54" spans="2:8">
      <c r="B54" s="128" t="s">
        <v>81</v>
      </c>
      <c r="C54" s="205"/>
      <c r="D54" s="205">
        <v>0.17710000000000001</v>
      </c>
      <c r="E54" s="205">
        <v>0.17</v>
      </c>
      <c r="F54" s="178">
        <f t="shared" si="7"/>
        <v>3.0107000000000002E-2</v>
      </c>
      <c r="G54" s="176">
        <f>VLOOKUP(Table1.3_Safety3[[#This Row],[Crash Severity]],TableA1_KABCO[],2,FALSE)</f>
        <v>11800000</v>
      </c>
      <c r="H54" s="176">
        <f t="shared" si="8"/>
        <v>355262.60000000003</v>
      </c>
    </row>
    <row r="55" spans="2:8">
      <c r="B55" s="128" t="s">
        <v>82</v>
      </c>
      <c r="C55" s="205"/>
      <c r="D55" s="205">
        <f>C55/7</f>
        <v>0</v>
      </c>
      <c r="E55" s="205"/>
      <c r="F55" s="178">
        <f>D55*E55</f>
        <v>0</v>
      </c>
      <c r="G55" s="176">
        <f>VLOOKUP(Table1.3_Safety3[[#This Row],[Crash Severity]],TableA1_KABCO[],2,FALSE)</f>
        <v>213900</v>
      </c>
      <c r="H55" s="176">
        <f>G55*F55</f>
        <v>0</v>
      </c>
    </row>
    <row r="56" spans="2:8" ht="25.5">
      <c r="B56" s="128" t="s">
        <v>83</v>
      </c>
      <c r="C56" s="205"/>
      <c r="D56" s="205">
        <f>C56/7</f>
        <v>0</v>
      </c>
      <c r="E56" s="205"/>
      <c r="F56" s="178">
        <f>D56*E56</f>
        <v>0</v>
      </c>
      <c r="G56" s="176">
        <f>VLOOKUP(Table1.3_Safety3[[#This Row],[Crash Severity]],TableA1_KABCO[],2,FALSE)</f>
        <v>162600</v>
      </c>
      <c r="H56" s="176">
        <f>G56*F56</f>
        <v>0</v>
      </c>
    </row>
    <row r="57" spans="2:8">
      <c r="B57" s="128" t="s">
        <v>84</v>
      </c>
      <c r="C57" s="205"/>
      <c r="D57" s="205">
        <f>C57/7</f>
        <v>0</v>
      </c>
      <c r="E57" s="205"/>
      <c r="F57" s="178">
        <f>D57*E57</f>
        <v>0</v>
      </c>
      <c r="G57" s="176">
        <f>VLOOKUP(Table1.3_Safety3[[#This Row],[Crash Severity]],TableA1_KABCO[],2,FALSE)</f>
        <v>307800</v>
      </c>
      <c r="H57" s="176">
        <f>G57*F57</f>
        <v>0</v>
      </c>
    </row>
    <row r="58" spans="2:8">
      <c r="B58" s="128" t="s">
        <v>85</v>
      </c>
      <c r="C58" s="205"/>
      <c r="D58" s="205">
        <f>C58/7</f>
        <v>0</v>
      </c>
      <c r="E58" s="205"/>
      <c r="F58" s="178">
        <f>D58*E58</f>
        <v>0</v>
      </c>
      <c r="G58" s="176">
        <f>VLOOKUP(Table1.3_Safety3[[#This Row],[Crash Severity]],TableA1_KABCO[],2,FALSE)</f>
        <v>13046800</v>
      </c>
      <c r="H58" s="176">
        <f>G58*F58</f>
        <v>0</v>
      </c>
    </row>
    <row r="59" spans="2:8">
      <c r="B59" s="89" t="s">
        <v>26</v>
      </c>
      <c r="C59" s="59">
        <f>SUBTOTAL(109,Table1.3_Safety3[Column1])</f>
        <v>0</v>
      </c>
      <c r="D59" s="59">
        <f>SUBTOTAL(109,Table1.3_Safety3[No-Build Predicted Crashes])</f>
        <v>125.6</v>
      </c>
      <c r="E59" s="59">
        <f>Table1.3_Safety3[[#Totals],[Predicted Annual Crash Reduction]]/Table1.3_Safety3[[#Totals],[No-Build Predicted Crashes]]</f>
        <v>-1.367038216560509E-2</v>
      </c>
      <c r="F59" s="59">
        <f>SUBTOTAL(109,Table1.3_Safety3[Predicted Annual Crash Reduction])</f>
        <v>-1.7169999999999992</v>
      </c>
      <c r="G59" s="59"/>
      <c r="H59" s="225">
        <f>SUBTOTAL(109,Table1.3_Safety3[Annual Savings])</f>
        <v>782227.43790000002</v>
      </c>
    </row>
    <row r="60" spans="2:8">
      <c r="B60" s="89"/>
      <c r="C60" s="59"/>
      <c r="D60" s="59"/>
      <c r="E60" s="59"/>
      <c r="F60" s="59"/>
      <c r="G60" s="59"/>
      <c r="H60" s="58"/>
    </row>
    <row r="61" spans="2:8">
      <c r="B61" s="89"/>
      <c r="C61" s="59"/>
      <c r="D61" s="59"/>
      <c r="E61" s="59"/>
      <c r="F61" s="59"/>
      <c r="G61" s="59"/>
      <c r="H61" s="58"/>
    </row>
    <row r="62" spans="2:8" ht="14.25" hidden="1">
      <c r="B62" s="91" t="s">
        <v>92</v>
      </c>
      <c r="C62" s="376"/>
      <c r="D62" s="425"/>
      <c r="E62" s="425"/>
      <c r="F62" s="425"/>
      <c r="G62" s="425"/>
      <c r="H62" s="426"/>
    </row>
    <row r="63" spans="2:8" ht="15" hidden="1" customHeight="1">
      <c r="B63" s="91" t="s">
        <v>68</v>
      </c>
      <c r="C63" s="376"/>
      <c r="D63" s="425"/>
      <c r="E63" s="425"/>
      <c r="F63" s="425"/>
      <c r="G63" s="425"/>
      <c r="H63" s="426"/>
    </row>
    <row r="64" spans="2:8" hidden="1">
      <c r="B64" s="90"/>
      <c r="C64" s="119"/>
      <c r="D64" s="119"/>
      <c r="E64" s="119"/>
      <c r="F64" s="119"/>
      <c r="G64" s="119"/>
      <c r="H64" s="119"/>
    </row>
    <row r="65" spans="2:8" ht="25.5" hidden="1">
      <c r="B65" s="123" t="s">
        <v>70</v>
      </c>
      <c r="C65" s="123" t="s">
        <v>71</v>
      </c>
      <c r="D65" s="123" t="s">
        <v>93</v>
      </c>
      <c r="E65" s="123" t="s">
        <v>73</v>
      </c>
      <c r="F65" s="123" t="s">
        <v>74</v>
      </c>
      <c r="G65" s="123" t="s">
        <v>75</v>
      </c>
      <c r="H65" s="123" t="s">
        <v>76</v>
      </c>
    </row>
    <row r="66" spans="2:8" hidden="1">
      <c r="B66" s="128" t="s">
        <v>77</v>
      </c>
      <c r="C66" s="205"/>
      <c r="D66" s="205"/>
      <c r="E66" s="205"/>
      <c r="F66" s="178">
        <f>D66*E66</f>
        <v>0</v>
      </c>
      <c r="G66" s="176">
        <f>VLOOKUP(Table1.3_Safety351[[#This Row],[Crash Severity]],TableA1_KABCO[],2,FALSE)</f>
        <v>4000</v>
      </c>
      <c r="H66" s="176">
        <f t="shared" ref="H66:H67" si="9">G66*F66</f>
        <v>0</v>
      </c>
    </row>
    <row r="67" spans="2:8" hidden="1">
      <c r="B67" s="128" t="s">
        <v>78</v>
      </c>
      <c r="C67" s="205"/>
      <c r="D67" s="205"/>
      <c r="E67" s="205"/>
      <c r="F67" s="178">
        <f t="shared" ref="F67:F70" si="10">D67*E67</f>
        <v>0</v>
      </c>
      <c r="G67" s="176">
        <f>VLOOKUP(Table1.3_Safety351[[#This Row],[Crash Severity]],TableA1_KABCO[],2,FALSE)</f>
        <v>78500</v>
      </c>
      <c r="H67" s="176">
        <f t="shared" si="9"/>
        <v>0</v>
      </c>
    </row>
    <row r="68" spans="2:8" hidden="1">
      <c r="B68" s="128" t="s">
        <v>79</v>
      </c>
      <c r="C68" s="205"/>
      <c r="D68" s="205"/>
      <c r="E68" s="205"/>
      <c r="F68" s="178">
        <f t="shared" si="10"/>
        <v>0</v>
      </c>
      <c r="G68" s="176">
        <f>VLOOKUP(Table1.3_Safety351[[#This Row],[Crash Severity]],TableA1_KABCO[],2,FALSE)</f>
        <v>153700</v>
      </c>
      <c r="H68" s="176">
        <f>G68*F68</f>
        <v>0</v>
      </c>
    </row>
    <row r="69" spans="2:8" hidden="1">
      <c r="B69" s="128" t="s">
        <v>80</v>
      </c>
      <c r="C69" s="205"/>
      <c r="D69" s="205"/>
      <c r="E69" s="205"/>
      <c r="F69" s="178">
        <f t="shared" si="10"/>
        <v>0</v>
      </c>
      <c r="G69" s="176">
        <f>VLOOKUP(Table1.3_Safety351[[#This Row],[Crash Severity]],TableA1_KABCO[],2,FALSE)</f>
        <v>564300</v>
      </c>
      <c r="H69" s="176">
        <f t="shared" ref="H69:H70" si="11">G69*F69</f>
        <v>0</v>
      </c>
    </row>
    <row r="70" spans="2:8" hidden="1">
      <c r="B70" s="128" t="s">
        <v>81</v>
      </c>
      <c r="C70" s="205"/>
      <c r="D70" s="205"/>
      <c r="E70" s="205"/>
      <c r="F70" s="178">
        <f t="shared" si="10"/>
        <v>0</v>
      </c>
      <c r="G70" s="176">
        <f>VLOOKUP(Table1.3_Safety351[[#This Row],[Crash Severity]],TableA1_KABCO[],2,FALSE)</f>
        <v>11800000</v>
      </c>
      <c r="H70" s="176">
        <f t="shared" si="11"/>
        <v>0</v>
      </c>
    </row>
    <row r="71" spans="2:8" hidden="1">
      <c r="B71" s="128" t="s">
        <v>82</v>
      </c>
      <c r="C71" s="205"/>
      <c r="D71" s="205"/>
      <c r="E71" s="205"/>
      <c r="F71" s="178">
        <f>D71*E71</f>
        <v>0</v>
      </c>
      <c r="G71" s="176">
        <f>VLOOKUP(Table1.3_Safety351[[#This Row],[Crash Severity]],TableA1_KABCO[],2,FALSE)</f>
        <v>213900</v>
      </c>
      <c r="H71" s="176">
        <f>G71*F71</f>
        <v>0</v>
      </c>
    </row>
    <row r="72" spans="2:8" ht="25.5" hidden="1">
      <c r="B72" s="128" t="s">
        <v>83</v>
      </c>
      <c r="C72" s="205"/>
      <c r="D72" s="205"/>
      <c r="E72" s="205"/>
      <c r="F72" s="178">
        <f>D72*E72</f>
        <v>0</v>
      </c>
      <c r="G72" s="176">
        <f>VLOOKUP(Table1.3_Safety351[[#This Row],[Crash Severity]],TableA1_KABCO[],2,FALSE)</f>
        <v>162600</v>
      </c>
      <c r="H72" s="176">
        <f>G72*F72</f>
        <v>0</v>
      </c>
    </row>
    <row r="73" spans="2:8" hidden="1">
      <c r="B73" s="128" t="s">
        <v>84</v>
      </c>
      <c r="C73" s="205"/>
      <c r="D73" s="205"/>
      <c r="E73" s="205"/>
      <c r="F73" s="178">
        <f>D73*E73</f>
        <v>0</v>
      </c>
      <c r="G73" s="176">
        <f>VLOOKUP(Table1.3_Safety351[[#This Row],[Crash Severity]],TableA1_KABCO[],2,FALSE)</f>
        <v>307800</v>
      </c>
      <c r="H73" s="176">
        <f>G73*F73</f>
        <v>0</v>
      </c>
    </row>
    <row r="74" spans="2:8" hidden="1">
      <c r="B74" s="128" t="s">
        <v>85</v>
      </c>
      <c r="C74" s="205"/>
      <c r="D74" s="205"/>
      <c r="E74" s="205"/>
      <c r="F74" s="178">
        <f>D74*E74</f>
        <v>0</v>
      </c>
      <c r="G74" s="176">
        <f>VLOOKUP(Table1.3_Safety351[[#This Row],[Crash Severity]],TableA1_KABCO[],2,FALSE)</f>
        <v>13046800</v>
      </c>
      <c r="H74" s="176">
        <f>G74*F74</f>
        <v>0</v>
      </c>
    </row>
    <row r="75" spans="2:8" hidden="1">
      <c r="B75" s="89" t="s">
        <v>26</v>
      </c>
      <c r="C75" s="59">
        <f>SUBTOTAL(109,Table1.3_Safety351[Column1])</f>
        <v>0</v>
      </c>
      <c r="D75" s="59">
        <f>SUBTOTAL(109,Table1.3_Safety351[Number of Crashes per Year])</f>
        <v>0</v>
      </c>
      <c r="E75" s="59" t="e">
        <f>SUBTOTAL(101,Table1.3_Safety351[Crash Reduction Factor])</f>
        <v>#DIV/0!</v>
      </c>
      <c r="F75" s="59">
        <f>SUBTOTAL(109,Table1.3_Safety351[Predicted Annual Crash Reduction])</f>
        <v>0</v>
      </c>
      <c r="G75" s="59"/>
      <c r="H75" s="225">
        <f>SUBTOTAL(109,Table1.3_Safety351[Annual Savings])</f>
        <v>0</v>
      </c>
    </row>
    <row r="76" spans="2:8" hidden="1">
      <c r="B76" s="89"/>
      <c r="C76" s="59"/>
      <c r="D76" s="59"/>
      <c r="E76" s="59"/>
      <c r="F76" s="59"/>
      <c r="G76" s="59"/>
      <c r="H76" s="58"/>
    </row>
    <row r="77" spans="2:8" hidden="1">
      <c r="B77" s="89"/>
      <c r="C77" s="59"/>
      <c r="D77" s="59"/>
      <c r="E77" s="59"/>
      <c r="F77" s="59"/>
      <c r="G77" s="59"/>
      <c r="H77" s="58"/>
    </row>
    <row r="78" spans="2:8" hidden="1">
      <c r="B78" s="91" t="s">
        <v>94</v>
      </c>
      <c r="C78" s="377"/>
      <c r="D78" s="428"/>
      <c r="E78" s="428"/>
      <c r="F78" s="428"/>
      <c r="G78" s="428"/>
      <c r="H78" s="429"/>
    </row>
    <row r="79" spans="2:8" ht="15" hidden="1" customHeight="1">
      <c r="B79" s="91" t="s">
        <v>68</v>
      </c>
      <c r="C79" s="377"/>
      <c r="D79" s="428"/>
      <c r="E79" s="428"/>
      <c r="F79" s="428"/>
      <c r="G79" s="428"/>
      <c r="H79" s="429"/>
    </row>
    <row r="80" spans="2:8" hidden="1">
      <c r="B80" s="90"/>
      <c r="C80" s="119"/>
      <c r="D80" s="119"/>
      <c r="E80" s="119"/>
      <c r="F80" s="119"/>
      <c r="G80" s="119"/>
      <c r="H80" s="119"/>
    </row>
    <row r="81" spans="2:8" ht="25.5" hidden="1">
      <c r="B81" s="123" t="s">
        <v>70</v>
      </c>
      <c r="C81" s="123" t="s">
        <v>71</v>
      </c>
      <c r="D81" s="123" t="s">
        <v>93</v>
      </c>
      <c r="E81" s="123" t="s">
        <v>73</v>
      </c>
      <c r="F81" s="123" t="s">
        <v>74</v>
      </c>
      <c r="G81" s="123" t="s">
        <v>75</v>
      </c>
      <c r="H81" s="123" t="s">
        <v>76</v>
      </c>
    </row>
    <row r="82" spans="2:8" hidden="1">
      <c r="B82" s="128" t="s">
        <v>77</v>
      </c>
      <c r="C82" s="205"/>
      <c r="D82" s="205"/>
      <c r="E82" s="205"/>
      <c r="F82" s="178">
        <f>D82*E82</f>
        <v>0</v>
      </c>
      <c r="G82" s="176">
        <f>VLOOKUP(Table1.3_Safety35152[[#This Row],[Crash Severity]],TableA1_KABCO[],2,FALSE)</f>
        <v>4000</v>
      </c>
      <c r="H82" s="176">
        <f t="shared" ref="H82:H83" si="12">G82*F82</f>
        <v>0</v>
      </c>
    </row>
    <row r="83" spans="2:8" hidden="1">
      <c r="B83" s="128" t="s">
        <v>78</v>
      </c>
      <c r="C83" s="205"/>
      <c r="D83" s="205"/>
      <c r="E83" s="205"/>
      <c r="F83" s="178">
        <f t="shared" ref="F83:F86" si="13">D83*E83</f>
        <v>0</v>
      </c>
      <c r="G83" s="176">
        <f>VLOOKUP(Table1.3_Safety35152[[#This Row],[Crash Severity]],TableA1_KABCO[],2,FALSE)</f>
        <v>78500</v>
      </c>
      <c r="H83" s="176">
        <f t="shared" si="12"/>
        <v>0</v>
      </c>
    </row>
    <row r="84" spans="2:8" hidden="1">
      <c r="B84" s="128" t="s">
        <v>79</v>
      </c>
      <c r="C84" s="205"/>
      <c r="D84" s="205"/>
      <c r="E84" s="205"/>
      <c r="F84" s="178">
        <f t="shared" si="13"/>
        <v>0</v>
      </c>
      <c r="G84" s="176">
        <f>VLOOKUP(Table1.3_Safety35152[[#This Row],[Crash Severity]],TableA1_KABCO[],2,FALSE)</f>
        <v>153700</v>
      </c>
      <c r="H84" s="176">
        <f>G84*F84</f>
        <v>0</v>
      </c>
    </row>
    <row r="85" spans="2:8" hidden="1">
      <c r="B85" s="128" t="s">
        <v>80</v>
      </c>
      <c r="C85" s="205"/>
      <c r="D85" s="205"/>
      <c r="E85" s="205"/>
      <c r="F85" s="178">
        <f t="shared" si="13"/>
        <v>0</v>
      </c>
      <c r="G85" s="176">
        <f>VLOOKUP(Table1.3_Safety35152[[#This Row],[Crash Severity]],TableA1_KABCO[],2,FALSE)</f>
        <v>564300</v>
      </c>
      <c r="H85" s="176">
        <f t="shared" ref="H85:H86" si="14">G85*F85</f>
        <v>0</v>
      </c>
    </row>
    <row r="86" spans="2:8" hidden="1">
      <c r="B86" s="128" t="s">
        <v>81</v>
      </c>
      <c r="C86" s="205"/>
      <c r="D86" s="205"/>
      <c r="E86" s="205"/>
      <c r="F86" s="178">
        <f t="shared" si="13"/>
        <v>0</v>
      </c>
      <c r="G86" s="176">
        <f>VLOOKUP(Table1.3_Safety35152[[#This Row],[Crash Severity]],TableA1_KABCO[],2,FALSE)</f>
        <v>11800000</v>
      </c>
      <c r="H86" s="176">
        <f t="shared" si="14"/>
        <v>0</v>
      </c>
    </row>
    <row r="87" spans="2:8" hidden="1">
      <c r="B87" s="128" t="s">
        <v>82</v>
      </c>
      <c r="C87" s="205"/>
      <c r="D87" s="205"/>
      <c r="E87" s="205"/>
      <c r="F87" s="178">
        <f>D87*E87</f>
        <v>0</v>
      </c>
      <c r="G87" s="176">
        <f>VLOOKUP(Table1.3_Safety35152[[#This Row],[Crash Severity]],TableA1_KABCO[],2,FALSE)</f>
        <v>213900</v>
      </c>
      <c r="H87" s="176">
        <f>G87*F87</f>
        <v>0</v>
      </c>
    </row>
    <row r="88" spans="2:8" ht="25.5" hidden="1">
      <c r="B88" s="128" t="s">
        <v>83</v>
      </c>
      <c r="C88" s="205"/>
      <c r="D88" s="205"/>
      <c r="E88" s="205"/>
      <c r="F88" s="178">
        <f>D88*E88</f>
        <v>0</v>
      </c>
      <c r="G88" s="176">
        <f>VLOOKUP(Table1.3_Safety35152[[#This Row],[Crash Severity]],TableA1_KABCO[],2,FALSE)</f>
        <v>162600</v>
      </c>
      <c r="H88" s="176">
        <f>G88*F88</f>
        <v>0</v>
      </c>
    </row>
    <row r="89" spans="2:8" hidden="1">
      <c r="B89" s="128" t="s">
        <v>84</v>
      </c>
      <c r="C89" s="205"/>
      <c r="D89" s="205"/>
      <c r="E89" s="205"/>
      <c r="F89" s="178">
        <f>D89*E89</f>
        <v>0</v>
      </c>
      <c r="G89" s="176">
        <f>VLOOKUP(Table1.3_Safety35152[[#This Row],[Crash Severity]],TableA1_KABCO[],2,FALSE)</f>
        <v>307800</v>
      </c>
      <c r="H89" s="176">
        <f>G89*F89</f>
        <v>0</v>
      </c>
    </row>
    <row r="90" spans="2:8" hidden="1">
      <c r="B90" s="128" t="s">
        <v>85</v>
      </c>
      <c r="C90" s="205"/>
      <c r="D90" s="205"/>
      <c r="E90" s="205"/>
      <c r="F90" s="178">
        <f>D90*E90</f>
        <v>0</v>
      </c>
      <c r="G90" s="176">
        <f>VLOOKUP(Table1.3_Safety35152[[#This Row],[Crash Severity]],TableA1_KABCO[],2,FALSE)</f>
        <v>13046800</v>
      </c>
      <c r="H90" s="176">
        <f>G90*F90</f>
        <v>0</v>
      </c>
    </row>
    <row r="91" spans="2:8" hidden="1">
      <c r="B91" s="89" t="s">
        <v>26</v>
      </c>
      <c r="C91" s="59">
        <f>SUBTOTAL(109,Table1.3_Safety35152[Column1])</f>
        <v>0</v>
      </c>
      <c r="D91" s="59">
        <f>SUBTOTAL(109,Table1.3_Safety35152[Number of Crashes per Year])</f>
        <v>0</v>
      </c>
      <c r="E91" s="59" t="e">
        <f>SUBTOTAL(101,Table1.3_Safety35152[Crash Reduction Factor])</f>
        <v>#DIV/0!</v>
      </c>
      <c r="F91" s="59">
        <f>SUBTOTAL(109,Table1.3_Safety35152[Predicted Annual Crash Reduction])</f>
        <v>0</v>
      </c>
      <c r="G91" s="59"/>
      <c r="H91" s="225">
        <f>SUBTOTAL(109,Table1.3_Safety35152[Annual Savings])</f>
        <v>0</v>
      </c>
    </row>
    <row r="92" spans="2:8" hidden="1">
      <c r="B92" s="89"/>
      <c r="C92" s="59"/>
      <c r="D92" s="59"/>
      <c r="E92" s="59"/>
      <c r="F92" s="59"/>
      <c r="G92" s="59"/>
      <c r="H92" s="58"/>
    </row>
    <row r="93" spans="2:8" hidden="1">
      <c r="B93" s="89"/>
      <c r="C93" s="59"/>
      <c r="D93" s="59"/>
      <c r="E93" s="59"/>
      <c r="F93" s="59"/>
      <c r="G93" s="59"/>
      <c r="H93" s="58"/>
    </row>
    <row r="94" spans="2:8" hidden="1">
      <c r="B94" s="91" t="s">
        <v>95</v>
      </c>
      <c r="C94" s="413"/>
      <c r="D94" s="413"/>
      <c r="E94" s="413"/>
      <c r="F94" s="413"/>
      <c r="G94" s="413"/>
      <c r="H94" s="413"/>
    </row>
    <row r="95" spans="2:8" ht="15" hidden="1" customHeight="1">
      <c r="B95" s="91" t="s">
        <v>68</v>
      </c>
      <c r="C95" s="413"/>
      <c r="D95" s="413"/>
      <c r="E95" s="413"/>
      <c r="F95" s="413"/>
      <c r="G95" s="413"/>
      <c r="H95" s="413"/>
    </row>
    <row r="96" spans="2:8" hidden="1">
      <c r="B96" s="90"/>
      <c r="C96" s="119"/>
      <c r="D96" s="119"/>
      <c r="E96" s="119"/>
      <c r="F96" s="119"/>
      <c r="G96" s="119"/>
      <c r="H96" s="119"/>
    </row>
    <row r="97" spans="2:8" ht="25.5" hidden="1">
      <c r="B97" s="123" t="s">
        <v>70</v>
      </c>
      <c r="C97" s="123" t="s">
        <v>96</v>
      </c>
      <c r="D97" s="123" t="s">
        <v>93</v>
      </c>
      <c r="E97" s="123" t="s">
        <v>73</v>
      </c>
      <c r="F97" s="123" t="s">
        <v>74</v>
      </c>
      <c r="G97" s="123" t="s">
        <v>75</v>
      </c>
      <c r="H97" s="123" t="s">
        <v>76</v>
      </c>
    </row>
    <row r="98" spans="2:8" hidden="1">
      <c r="B98" s="128" t="s">
        <v>77</v>
      </c>
      <c r="C98" s="205"/>
      <c r="D98" s="178">
        <f>C98/7</f>
        <v>0</v>
      </c>
      <c r="E98" s="205"/>
      <c r="F98" s="178">
        <f>D98*E98</f>
        <v>0</v>
      </c>
      <c r="G98" s="176">
        <f>VLOOKUP(Table1.3_Safety3515253[[#This Row],[Crash Severity]],TableA1_KABCO[],2,FALSE)</f>
        <v>4000</v>
      </c>
      <c r="H98" s="176">
        <f t="shared" ref="H98:H99" si="15">G98*F98</f>
        <v>0</v>
      </c>
    </row>
    <row r="99" spans="2:8" hidden="1">
      <c r="B99" s="128" t="s">
        <v>78</v>
      </c>
      <c r="C99" s="205"/>
      <c r="D99" s="178">
        <f t="shared" ref="D99:D102" si="16">C99/7</f>
        <v>0</v>
      </c>
      <c r="E99" s="205"/>
      <c r="F99" s="178">
        <f t="shared" ref="F99:F102" si="17">D99*E99</f>
        <v>0</v>
      </c>
      <c r="G99" s="176">
        <f>VLOOKUP(Table1.3_Safety3515253[[#This Row],[Crash Severity]],TableA1_KABCO[],2,FALSE)</f>
        <v>78500</v>
      </c>
      <c r="H99" s="176">
        <f t="shared" si="15"/>
        <v>0</v>
      </c>
    </row>
    <row r="100" spans="2:8" hidden="1">
      <c r="B100" s="128" t="s">
        <v>79</v>
      </c>
      <c r="C100" s="205"/>
      <c r="D100" s="178">
        <f t="shared" si="16"/>
        <v>0</v>
      </c>
      <c r="E100" s="205"/>
      <c r="F100" s="178">
        <f t="shared" si="17"/>
        <v>0</v>
      </c>
      <c r="G100" s="176">
        <f>VLOOKUP(Table1.3_Safety3515253[[#This Row],[Crash Severity]],TableA1_KABCO[],2,FALSE)</f>
        <v>153700</v>
      </c>
      <c r="H100" s="176">
        <f>G100*F100</f>
        <v>0</v>
      </c>
    </row>
    <row r="101" spans="2:8" hidden="1">
      <c r="B101" s="128" t="s">
        <v>80</v>
      </c>
      <c r="C101" s="205"/>
      <c r="D101" s="178">
        <f t="shared" si="16"/>
        <v>0</v>
      </c>
      <c r="E101" s="205"/>
      <c r="F101" s="178">
        <f t="shared" si="17"/>
        <v>0</v>
      </c>
      <c r="G101" s="176">
        <f>VLOOKUP(Table1.3_Safety3515253[[#This Row],[Crash Severity]],TableA1_KABCO[],2,FALSE)</f>
        <v>564300</v>
      </c>
      <c r="H101" s="176">
        <f t="shared" ref="H101:H102" si="18">G101*F101</f>
        <v>0</v>
      </c>
    </row>
    <row r="102" spans="2:8" hidden="1">
      <c r="B102" s="128" t="s">
        <v>81</v>
      </c>
      <c r="C102" s="205"/>
      <c r="D102" s="178">
        <f t="shared" si="16"/>
        <v>0</v>
      </c>
      <c r="E102" s="205"/>
      <c r="F102" s="178">
        <f t="shared" si="17"/>
        <v>0</v>
      </c>
      <c r="G102" s="176">
        <f>VLOOKUP(Table1.3_Safety3515253[[#This Row],[Crash Severity]],TableA1_KABCO[],2,FALSE)</f>
        <v>11800000</v>
      </c>
      <c r="H102" s="176">
        <f t="shared" si="18"/>
        <v>0</v>
      </c>
    </row>
    <row r="103" spans="2:8" hidden="1">
      <c r="B103" s="128" t="s">
        <v>82</v>
      </c>
      <c r="C103" s="205"/>
      <c r="D103" s="178">
        <f>C103/7</f>
        <v>0</v>
      </c>
      <c r="E103" s="205"/>
      <c r="F103" s="178">
        <f>D103*E103</f>
        <v>0</v>
      </c>
      <c r="G103" s="176">
        <f>VLOOKUP(Table1.3_Safety3515253[[#This Row],[Crash Severity]],TableA1_KABCO[],2,FALSE)</f>
        <v>213900</v>
      </c>
      <c r="H103" s="176">
        <f>G103*F103</f>
        <v>0</v>
      </c>
    </row>
    <row r="104" spans="2:8" ht="25.5" hidden="1">
      <c r="B104" s="128" t="s">
        <v>83</v>
      </c>
      <c r="C104" s="205"/>
      <c r="D104" s="178">
        <f>C104/7</f>
        <v>0</v>
      </c>
      <c r="E104" s="205"/>
      <c r="F104" s="178">
        <f>D104*E104</f>
        <v>0</v>
      </c>
      <c r="G104" s="176">
        <f>VLOOKUP(Table1.3_Safety3515253[[#This Row],[Crash Severity]],TableA1_KABCO[],2,FALSE)</f>
        <v>162600</v>
      </c>
      <c r="H104" s="176">
        <f>G104*F104</f>
        <v>0</v>
      </c>
    </row>
    <row r="105" spans="2:8" hidden="1">
      <c r="B105" s="128" t="s">
        <v>84</v>
      </c>
      <c r="C105" s="205"/>
      <c r="D105" s="178">
        <f>C105/7</f>
        <v>0</v>
      </c>
      <c r="E105" s="205"/>
      <c r="F105" s="178">
        <f>D105*E105</f>
        <v>0</v>
      </c>
      <c r="G105" s="176">
        <f>VLOOKUP(Table1.3_Safety3515253[[#This Row],[Crash Severity]],TableA1_KABCO[],2,FALSE)</f>
        <v>307800</v>
      </c>
      <c r="H105" s="176">
        <f>G105*F105</f>
        <v>0</v>
      </c>
    </row>
    <row r="106" spans="2:8" hidden="1">
      <c r="B106" s="128" t="s">
        <v>85</v>
      </c>
      <c r="C106" s="205"/>
      <c r="D106" s="178">
        <f>C106/7</f>
        <v>0</v>
      </c>
      <c r="E106" s="205"/>
      <c r="F106" s="178">
        <f>D106*E106</f>
        <v>0</v>
      </c>
      <c r="G106" s="176">
        <f>VLOOKUP(Table1.3_Safety3515253[[#This Row],[Crash Severity]],TableA1_KABCO[],2,FALSE)</f>
        <v>13046800</v>
      </c>
      <c r="H106" s="176">
        <f>G106*F106</f>
        <v>0</v>
      </c>
    </row>
    <row r="107" spans="2:8" hidden="1">
      <c r="B107" s="89" t="s">
        <v>26</v>
      </c>
      <c r="C107" s="59">
        <f>SUBTOTAL(109,Table1.3_Safety3515253[Total Crashes])</f>
        <v>0</v>
      </c>
      <c r="D107" s="59">
        <f>SUBTOTAL(109,Table1.3_Safety3515253[Number of Crashes per Year])</f>
        <v>0</v>
      </c>
      <c r="E107" s="59" t="e">
        <f>SUBTOTAL(101,Table1.3_Safety3515253[Crash Reduction Factor])</f>
        <v>#DIV/0!</v>
      </c>
      <c r="F107" s="59">
        <f>SUBTOTAL(109,Table1.3_Safety3515253[Predicted Annual Crash Reduction])</f>
        <v>0</v>
      </c>
      <c r="G107" s="59"/>
      <c r="H107" s="225">
        <f>SUBTOTAL(109,Table1.3_Safety3515253[Annual Savings])</f>
        <v>0</v>
      </c>
    </row>
    <row r="108" spans="2:8" hidden="1">
      <c r="B108" s="89"/>
      <c r="C108" s="59"/>
      <c r="D108" s="59"/>
      <c r="E108" s="59"/>
      <c r="F108" s="59"/>
      <c r="G108" s="59"/>
      <c r="H108" s="58"/>
    </row>
    <row r="109" spans="2:8" hidden="1">
      <c r="B109" s="89"/>
      <c r="C109" s="59"/>
      <c r="D109" s="59"/>
      <c r="E109" s="59"/>
      <c r="F109" s="59"/>
      <c r="G109" s="59"/>
      <c r="H109" s="58"/>
    </row>
    <row r="110" spans="2:8" hidden="1">
      <c r="B110" s="91" t="s">
        <v>97</v>
      </c>
      <c r="C110" s="413"/>
      <c r="D110" s="413"/>
      <c r="E110" s="413"/>
      <c r="F110" s="413"/>
      <c r="G110" s="413"/>
      <c r="H110" s="413"/>
    </row>
    <row r="111" spans="2:8" ht="15" hidden="1" customHeight="1">
      <c r="B111" s="91" t="s">
        <v>68</v>
      </c>
      <c r="C111" s="413"/>
      <c r="D111" s="413"/>
      <c r="E111" s="413"/>
      <c r="F111" s="413"/>
      <c r="G111" s="413"/>
      <c r="H111" s="413"/>
    </row>
    <row r="112" spans="2:8" hidden="1">
      <c r="B112" s="90"/>
      <c r="C112" s="119"/>
      <c r="D112" s="119"/>
      <c r="E112" s="119"/>
      <c r="F112" s="119"/>
      <c r="G112" s="119"/>
      <c r="H112" s="119"/>
    </row>
    <row r="113" spans="2:8" ht="25.5" hidden="1">
      <c r="B113" s="123" t="s">
        <v>70</v>
      </c>
      <c r="C113" s="123" t="s">
        <v>96</v>
      </c>
      <c r="D113" s="123" t="s">
        <v>93</v>
      </c>
      <c r="E113" s="123" t="s">
        <v>73</v>
      </c>
      <c r="F113" s="123" t="s">
        <v>74</v>
      </c>
      <c r="G113" s="123" t="s">
        <v>75</v>
      </c>
      <c r="H113" s="123" t="s">
        <v>76</v>
      </c>
    </row>
    <row r="114" spans="2:8" hidden="1">
      <c r="B114" s="128" t="s">
        <v>77</v>
      </c>
      <c r="C114" s="205"/>
      <c r="D114" s="178">
        <f>C114/7</f>
        <v>0</v>
      </c>
      <c r="E114" s="205"/>
      <c r="F114" s="178">
        <f>D114*E114</f>
        <v>0</v>
      </c>
      <c r="G114" s="176">
        <f>VLOOKUP(Table1.3_Safety351525355[[#This Row],[Crash Severity]],TableA1_KABCO[],2,FALSE)</f>
        <v>4000</v>
      </c>
      <c r="H114" s="176">
        <f t="shared" ref="H114:H115" si="19">G114*F114</f>
        <v>0</v>
      </c>
    </row>
    <row r="115" spans="2:8" hidden="1">
      <c r="B115" s="128" t="s">
        <v>78</v>
      </c>
      <c r="C115" s="205"/>
      <c r="D115" s="178">
        <f t="shared" ref="D115:D118" si="20">C115/7</f>
        <v>0</v>
      </c>
      <c r="E115" s="205"/>
      <c r="F115" s="178">
        <f t="shared" ref="F115:F118" si="21">D115*E115</f>
        <v>0</v>
      </c>
      <c r="G115" s="176">
        <f>VLOOKUP(Table1.3_Safety351525355[[#This Row],[Crash Severity]],TableA1_KABCO[],2,FALSE)</f>
        <v>78500</v>
      </c>
      <c r="H115" s="176">
        <f t="shared" si="19"/>
        <v>0</v>
      </c>
    </row>
    <row r="116" spans="2:8" hidden="1">
      <c r="B116" s="128" t="s">
        <v>79</v>
      </c>
      <c r="C116" s="205"/>
      <c r="D116" s="178">
        <f t="shared" si="20"/>
        <v>0</v>
      </c>
      <c r="E116" s="205"/>
      <c r="F116" s="178">
        <f t="shared" si="21"/>
        <v>0</v>
      </c>
      <c r="G116" s="176">
        <f>VLOOKUP(Table1.3_Safety351525355[[#This Row],[Crash Severity]],TableA1_KABCO[],2,FALSE)</f>
        <v>153700</v>
      </c>
      <c r="H116" s="176">
        <f>G116*F116</f>
        <v>0</v>
      </c>
    </row>
    <row r="117" spans="2:8" hidden="1">
      <c r="B117" s="128" t="s">
        <v>80</v>
      </c>
      <c r="C117" s="205"/>
      <c r="D117" s="178">
        <f t="shared" si="20"/>
        <v>0</v>
      </c>
      <c r="E117" s="205"/>
      <c r="F117" s="178">
        <f t="shared" si="21"/>
        <v>0</v>
      </c>
      <c r="G117" s="176">
        <f>VLOOKUP(Table1.3_Safety351525355[[#This Row],[Crash Severity]],TableA1_KABCO[],2,FALSE)</f>
        <v>564300</v>
      </c>
      <c r="H117" s="176">
        <f t="shared" ref="H117:H118" si="22">G117*F117</f>
        <v>0</v>
      </c>
    </row>
    <row r="118" spans="2:8" hidden="1">
      <c r="B118" s="128" t="s">
        <v>81</v>
      </c>
      <c r="C118" s="205"/>
      <c r="D118" s="178">
        <f t="shared" si="20"/>
        <v>0</v>
      </c>
      <c r="E118" s="205"/>
      <c r="F118" s="178">
        <f t="shared" si="21"/>
        <v>0</v>
      </c>
      <c r="G118" s="176">
        <f>VLOOKUP(Table1.3_Safety351525355[[#This Row],[Crash Severity]],TableA1_KABCO[],2,FALSE)</f>
        <v>11800000</v>
      </c>
      <c r="H118" s="176">
        <f t="shared" si="22"/>
        <v>0</v>
      </c>
    </row>
    <row r="119" spans="2:8" hidden="1">
      <c r="B119" s="128" t="s">
        <v>82</v>
      </c>
      <c r="C119" s="205"/>
      <c r="D119" s="178">
        <f>C119/7</f>
        <v>0</v>
      </c>
      <c r="E119" s="205"/>
      <c r="F119" s="178">
        <f>D119*E119</f>
        <v>0</v>
      </c>
      <c r="G119" s="176">
        <f>VLOOKUP(Table1.3_Safety351525355[[#This Row],[Crash Severity]],TableA1_KABCO[],2,FALSE)</f>
        <v>213900</v>
      </c>
      <c r="H119" s="176">
        <f>G119*F119</f>
        <v>0</v>
      </c>
    </row>
    <row r="120" spans="2:8" ht="25.5" hidden="1">
      <c r="B120" s="128" t="s">
        <v>83</v>
      </c>
      <c r="C120" s="205"/>
      <c r="D120" s="178">
        <f>C120/7</f>
        <v>0</v>
      </c>
      <c r="E120" s="205"/>
      <c r="F120" s="178">
        <f>D120*E120</f>
        <v>0</v>
      </c>
      <c r="G120" s="176">
        <f>VLOOKUP(Table1.3_Safety351525355[[#This Row],[Crash Severity]],TableA1_KABCO[],2,FALSE)</f>
        <v>162600</v>
      </c>
      <c r="H120" s="176">
        <f>G120*F120</f>
        <v>0</v>
      </c>
    </row>
    <row r="121" spans="2:8" hidden="1">
      <c r="B121" s="128" t="s">
        <v>84</v>
      </c>
      <c r="C121" s="205"/>
      <c r="D121" s="178">
        <f>C121/7</f>
        <v>0</v>
      </c>
      <c r="E121" s="205"/>
      <c r="F121" s="178">
        <f>D121*E121</f>
        <v>0</v>
      </c>
      <c r="G121" s="176">
        <f>VLOOKUP(Table1.3_Safety351525355[[#This Row],[Crash Severity]],TableA1_KABCO[],2,FALSE)</f>
        <v>307800</v>
      </c>
      <c r="H121" s="176">
        <f>G121*F121</f>
        <v>0</v>
      </c>
    </row>
    <row r="122" spans="2:8" hidden="1">
      <c r="B122" s="128" t="s">
        <v>85</v>
      </c>
      <c r="C122" s="205"/>
      <c r="D122" s="178">
        <f>C122/7</f>
        <v>0</v>
      </c>
      <c r="E122" s="205"/>
      <c r="F122" s="178">
        <f>D122*E122</f>
        <v>0</v>
      </c>
      <c r="G122" s="176">
        <f>VLOOKUP(Table1.3_Safety351525355[[#This Row],[Crash Severity]],TableA1_KABCO[],2,FALSE)</f>
        <v>13046800</v>
      </c>
      <c r="H122" s="176">
        <f>G122*F122</f>
        <v>0</v>
      </c>
    </row>
    <row r="123" spans="2:8" hidden="1">
      <c r="B123" s="89" t="s">
        <v>26</v>
      </c>
      <c r="C123" s="59">
        <f>SUBTOTAL(109,Table1.3_Safety351525355[Total Crashes])</f>
        <v>0</v>
      </c>
      <c r="D123" s="59">
        <f>SUBTOTAL(109,Table1.3_Safety351525355[Number of Crashes per Year])</f>
        <v>0</v>
      </c>
      <c r="E123" s="59" t="e">
        <f>SUBTOTAL(101,Table1.3_Safety351525355[Crash Reduction Factor])</f>
        <v>#DIV/0!</v>
      </c>
      <c r="F123" s="59">
        <f>SUBTOTAL(109,Table1.3_Safety351525355[Predicted Annual Crash Reduction])</f>
        <v>0</v>
      </c>
      <c r="G123" s="59"/>
      <c r="H123" s="225">
        <f>SUBTOTAL(109,Table1.3_Safety351525355[Annual Savings])</f>
        <v>0</v>
      </c>
    </row>
    <row r="124" spans="2:8" hidden="1">
      <c r="B124" s="89"/>
      <c r="C124" s="59"/>
      <c r="D124" s="59"/>
      <c r="E124" s="59"/>
      <c r="F124" s="59"/>
      <c r="G124" s="59"/>
      <c r="H124" s="58"/>
    </row>
    <row r="125" spans="2:8" hidden="1">
      <c r="B125" s="89"/>
      <c r="C125" s="59"/>
      <c r="D125" s="59"/>
      <c r="E125" s="59"/>
      <c r="F125" s="59"/>
      <c r="G125" s="59"/>
      <c r="H125" s="58"/>
    </row>
    <row r="127" spans="2:8">
      <c r="B127" s="122" t="s">
        <v>98</v>
      </c>
    </row>
    <row r="128" spans="2:8">
      <c r="B128" s="91"/>
    </row>
    <row r="129" spans="2:9" ht="25.5">
      <c r="B129" s="123" t="s">
        <v>99</v>
      </c>
      <c r="C129" s="123" t="s">
        <v>100</v>
      </c>
      <c r="D129" s="123" t="s">
        <v>93</v>
      </c>
      <c r="E129" s="123" t="s">
        <v>73</v>
      </c>
      <c r="F129" s="123" t="s">
        <v>74</v>
      </c>
      <c r="G129" s="123" t="s">
        <v>76</v>
      </c>
      <c r="H129" s="123" t="s">
        <v>101</v>
      </c>
      <c r="I129" s="123"/>
    </row>
    <row r="130" spans="2:9">
      <c r="B130" s="124">
        <f>SUM(Table1.3_Safety35152[[#Totals],[Column1]],Table1.3_Safety3515253[[#Totals],[Total Crashes]],Table1.3_Safety351525355[[#Totals],[Total Crashes]],Table1.3_Safety351[[#Totals],[Column1]],Table1.3_Safety3[[#Totals],[Column1]],Table1.2_Safety2[[#Totals],[Column1]],Table1.1_Safety1[[#Totals],[Column1]])</f>
        <v>0</v>
      </c>
      <c r="C130" s="165"/>
      <c r="D130" s="124">
        <f>SUM(Table1.3_Safety351[[#Totals],[Number of Crashes per Year]],Table1.3_Safety35152[[#Totals],[Number of Crashes per Year]],Table1.3_Safety3515253[[#Totals],[Number of Crashes per Year]],Table1.3_Safety351525355[[#Totals],[Number of Crashes per Year]],Table1.3_Safety3[[#Totals],[No-Build Predicted Crashes]],Table1.2_Safety2[[#Totals],[No-Build Predicted Crashes]],Table1.1_Safety1[[#Totals],[No-Build Predicted Crashes]])</f>
        <v>303.613</v>
      </c>
      <c r="E130" s="124">
        <f>Table1.5_SafetySummary[[#This Row],[Predicted Annual Crash Reduction]]/Table1.5_SafetySummary[[#This Row],[Number of Crashes per Year]]</f>
        <v>0.12628155250269257</v>
      </c>
      <c r="F130" s="124">
        <f>SUM(Table1.3_Safety351525355[[#Totals],[Predicted Annual Crash Reduction]],Table1.3_Safety3515253[[#Totals],[Predicted Annual Crash Reduction]],Table1.3_Safety35152[[#Totals],[Predicted Annual Crash Reduction]],Table1.3_Safety351[[#Totals],[Predicted Annual Crash Reduction]],Table1.3_Safety3[[#Totals],[Predicted Annual Crash Reduction]],Table1.2_Safety2[[#Totals],[Predicted Annual Crash Reduction]],Table1.1_Safety1[[#Totals],[Predicted Annual Crash Reduction]])</f>
        <v>38.340721000000002</v>
      </c>
      <c r="G130" s="125">
        <f>SUM(Table1.3_Safety351525355[[#Totals],[Annual Savings]],Table1.3_Safety3515253[[#Totals],[Annual Savings]],Table1.3_Safety35152[[#Totals],[Annual Savings]],Table1.3_Safety351[[#Totals],[Annual Savings]],Table1.3_Safety3[[#Totals],[Annual Savings]],Table1.2_Safety2[[#Totals],[Annual Savings]],Table1.1_Safety1[[#Totals],[Annual Savings]])</f>
        <v>5292586.7099000001</v>
      </c>
      <c r="H130" s="124">
        <f ca="1">Table1B1_SafetyBackup[[#Totals],[Realized Safety Benefit ($/Year)]]</f>
        <v>158777601.29700005</v>
      </c>
      <c r="I130" s="124"/>
    </row>
    <row r="132" spans="2:9">
      <c r="I132" s="127"/>
    </row>
  </sheetData>
  <mergeCells count="16">
    <mergeCell ref="C95:H95"/>
    <mergeCell ref="C110:H110"/>
    <mergeCell ref="C111:H111"/>
    <mergeCell ref="C94:H94"/>
    <mergeCell ref="A1:I1"/>
    <mergeCell ref="A7:I11"/>
    <mergeCell ref="D14:H14"/>
    <mergeCell ref="D31:H31"/>
    <mergeCell ref="D30:H30"/>
    <mergeCell ref="D47:H47"/>
    <mergeCell ref="D46:H46"/>
    <mergeCell ref="D63:H63"/>
    <mergeCell ref="D62:H62"/>
    <mergeCell ref="D79:H79"/>
    <mergeCell ref="D78:H78"/>
    <mergeCell ref="D15:H15"/>
  </mergeCells>
  <pageMargins left="0.7" right="0.7" top="0.75" bottom="0.75" header="0.3" footer="0.3"/>
  <pageSetup scale="50" fitToHeight="2" orientation="portrait" r:id="rId1"/>
  <rowBreaks count="1" manualBreakCount="1">
    <brk id="28" max="8" man="1"/>
  </rowBreaks>
  <drawing r:id="rId2"/>
  <tableParts count="8">
    <tablePart r:id="rId3"/>
    <tablePart r:id="rId4"/>
    <tablePart r:id="rId5"/>
    <tablePart r:id="rId6"/>
    <tablePart r:id="rId7"/>
    <tablePart r:id="rId8"/>
    <tablePart r:id="rId9"/>
    <tablePart r:id="rId10"/>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8106D-2D67-4C2A-9880-815C82E3B7C0}">
  <sheetPr>
    <tabColor theme="0" tint="-0.249977111117893"/>
    <pageSetUpPr fitToPage="1"/>
  </sheetPr>
  <dimension ref="A1:I53"/>
  <sheetViews>
    <sheetView showGridLines="0" view="pageBreakPreview" zoomScale="60" zoomScaleNormal="85" workbookViewId="0">
      <selection activeCell="A3" sqref="A3:XFD3"/>
    </sheetView>
  </sheetViews>
  <sheetFormatPr defaultColWidth="9.140625" defaultRowHeight="12.75"/>
  <cols>
    <col min="1" max="1" width="20.5703125" style="61" customWidth="1"/>
    <col min="2" max="2" width="35.7109375" style="61" bestFit="1" customWidth="1"/>
    <col min="3" max="3" width="18.42578125" style="61" bestFit="1" customWidth="1"/>
    <col min="4" max="7" width="21.42578125" style="61" customWidth="1"/>
    <col min="8" max="8" width="6.42578125" style="61" customWidth="1"/>
    <col min="9" max="9" width="10.7109375" style="61" customWidth="1"/>
    <col min="10" max="16384" width="9.140625" style="61"/>
  </cols>
  <sheetData>
    <row r="1" spans="1:9" ht="15" customHeight="1">
      <c r="A1" s="433" t="s">
        <v>102</v>
      </c>
      <c r="B1" s="434"/>
      <c r="C1" s="434"/>
      <c r="D1" s="434"/>
      <c r="E1" s="434"/>
      <c r="F1" s="434"/>
      <c r="G1" s="434"/>
      <c r="H1" s="434"/>
      <c r="I1" s="434"/>
    </row>
    <row r="2" spans="1:9" ht="15" customHeight="1">
      <c r="A2" s="99" t="s">
        <v>1</v>
      </c>
      <c r="B2" s="71" t="str">
        <f>Project_Name</f>
        <v>Right-Sizing Route 37: Improving Community Connectivity</v>
      </c>
      <c r="C2" s="81"/>
      <c r="D2" s="81"/>
      <c r="E2" s="81"/>
      <c r="F2" s="81"/>
      <c r="G2" s="81"/>
      <c r="H2" s="81"/>
      <c r="I2" s="81"/>
    </row>
    <row r="3" spans="1:9" ht="15" hidden="1" customHeight="1">
      <c r="A3" s="99" t="s">
        <v>2</v>
      </c>
      <c r="B3" s="71"/>
      <c r="C3" s="81"/>
      <c r="D3" s="81"/>
      <c r="E3" s="81"/>
      <c r="F3" s="81"/>
      <c r="G3" s="81"/>
      <c r="H3" s="81"/>
      <c r="I3" s="81"/>
    </row>
    <row r="4" spans="1:9" ht="15" customHeight="1">
      <c r="A4" s="99" t="s">
        <v>3</v>
      </c>
      <c r="B4" s="100">
        <f>Date</f>
        <v>44985</v>
      </c>
      <c r="C4" s="81"/>
      <c r="D4" s="81"/>
      <c r="E4" s="81"/>
      <c r="F4" s="81"/>
      <c r="G4" s="81"/>
      <c r="H4" s="81"/>
      <c r="I4" s="81"/>
    </row>
    <row r="5" spans="1:9" ht="30" customHeight="1">
      <c r="A5" s="99"/>
      <c r="B5" s="101"/>
      <c r="C5" s="81"/>
      <c r="D5" s="81"/>
      <c r="E5" s="81"/>
      <c r="F5" s="81"/>
      <c r="G5" s="81"/>
      <c r="H5" s="81"/>
      <c r="I5" s="81"/>
    </row>
    <row r="6" spans="1:9" ht="13.5" thickBot="1">
      <c r="A6" s="99"/>
      <c r="B6" s="101"/>
      <c r="C6" s="81"/>
      <c r="D6" s="81"/>
      <c r="E6" s="81"/>
      <c r="F6" s="81"/>
      <c r="G6" s="81"/>
      <c r="H6" s="81"/>
      <c r="I6" s="81"/>
    </row>
    <row r="7" spans="1:9" ht="60.75" customHeight="1" thickBot="1">
      <c r="A7" s="102" t="s">
        <v>103</v>
      </c>
      <c r="B7" s="430" t="s">
        <v>104</v>
      </c>
      <c r="C7" s="431"/>
      <c r="D7" s="431"/>
      <c r="E7" s="431"/>
      <c r="F7" s="431"/>
      <c r="G7" s="431"/>
      <c r="H7" s="431"/>
      <c r="I7" s="432"/>
    </row>
    <row r="8" spans="1:9" ht="60.75" customHeight="1" thickBot="1">
      <c r="A8" s="102" t="s">
        <v>105</v>
      </c>
      <c r="B8" s="430" t="s">
        <v>106</v>
      </c>
      <c r="C8" s="431"/>
      <c r="D8" s="431"/>
      <c r="E8" s="431"/>
      <c r="F8" s="431"/>
      <c r="G8" s="431"/>
      <c r="H8" s="431"/>
      <c r="I8" s="432"/>
    </row>
    <row r="9" spans="1:9" ht="60.75" customHeight="1" thickBot="1">
      <c r="A9" s="102" t="s">
        <v>107</v>
      </c>
      <c r="B9" s="430" t="s">
        <v>108</v>
      </c>
      <c r="C9" s="431"/>
      <c r="D9" s="431"/>
      <c r="E9" s="431"/>
      <c r="F9" s="431"/>
      <c r="G9" s="431"/>
      <c r="H9" s="431"/>
      <c r="I9" s="432"/>
    </row>
    <row r="10" spans="1:9" ht="60.75" customHeight="1" thickBot="1">
      <c r="A10" s="102" t="s">
        <v>109</v>
      </c>
      <c r="B10" s="430" t="s">
        <v>110</v>
      </c>
      <c r="C10" s="431"/>
      <c r="D10" s="431"/>
      <c r="E10" s="431"/>
      <c r="F10" s="431"/>
      <c r="G10" s="431"/>
      <c r="H10" s="431"/>
      <c r="I10" s="432"/>
    </row>
    <row r="11" spans="1:9" ht="60.75" customHeight="1" thickBot="1">
      <c r="A11" s="102" t="s">
        <v>111</v>
      </c>
      <c r="B11" s="430" t="s">
        <v>112</v>
      </c>
      <c r="C11" s="431"/>
      <c r="D11" s="431"/>
      <c r="E11" s="431"/>
      <c r="F11" s="431"/>
      <c r="G11" s="431"/>
      <c r="H11" s="431"/>
      <c r="I11" s="432"/>
    </row>
    <row r="12" spans="1:9" ht="12.75" customHeight="1"/>
    <row r="13" spans="1:9">
      <c r="B13" s="63" t="s">
        <v>113</v>
      </c>
    </row>
    <row r="15" spans="1:9" s="123" customFormat="1" ht="75" customHeight="1">
      <c r="B15" s="89" t="s">
        <v>19</v>
      </c>
      <c r="C15" s="89" t="s">
        <v>114</v>
      </c>
      <c r="D15" s="89" t="s">
        <v>115</v>
      </c>
      <c r="E15" s="89" t="s">
        <v>116</v>
      </c>
      <c r="F15" s="89" t="s">
        <v>117</v>
      </c>
      <c r="G15" s="89" t="s">
        <v>118</v>
      </c>
    </row>
    <row r="16" spans="1:9">
      <c r="B16" s="77">
        <f>First_Year+'Appendix B. Project Info'!B20</f>
        <v>2023</v>
      </c>
      <c r="C16" s="215">
        <f>'3D. TTS Backup All Years'!C51</f>
        <v>59238.933333333334</v>
      </c>
      <c r="D16" s="212">
        <f>SUM(Table1.1_Safety1[[#Totals],[No-Build Predicted Crashes]],Table1.2_Safety2[[#Totals],[No-Build Predicted Crashes]],Table1.3_Safety3[[#Totals],[No-Build Predicted Crashes]])</f>
        <v>303.61299999999994</v>
      </c>
      <c r="E16" s="213">
        <f>Table1B1_SafetyBackup[[#This Row],[Estimated Total Crashes, No Build Scenario (Crashes/Yr)]]-Table1B1_SafetyBackup[[#This Row],[Predicted Crash Reduction, Preferred Action Scenario (Crashes/Yr)]]</f>
        <v>265.27227899999991</v>
      </c>
      <c r="F16" s="212">
        <f>SUM('1. Safety Benefits'!F27,'1. Safety Benefits'!F43,'1. Safety Benefits'!F59)</f>
        <v>38.340721000000002</v>
      </c>
      <c r="G16" s="210" cm="1">
        <f t="array" ref="G16">IF(Table1B1_SafetyBackup[[#This Row],[Year]]&lt;=Closeout,0,IF(Table1B1_SafetyBackup[[#This Row],[Year]]&lt;=Last_Year,Table1.5_SafetySummary[30-Year Total],0))</f>
        <v>0</v>
      </c>
    </row>
    <row r="17" spans="2:8">
      <c r="B17" s="77">
        <f>First_Year+'Appendix B. Project Info'!B21</f>
        <v>2024</v>
      </c>
      <c r="C17" s="211">
        <f>'3D. TTS Backup All Years'!C52</f>
        <v>59392.2</v>
      </c>
      <c r="D17" s="213">
        <f>SUM(Table1.1_Safety1[[#Totals],[No-Build Predicted Crashes]],Table1.2_Safety2[[#Totals],[No-Build Predicted Crashes]],Table1.3_Safety3[[#Totals],[No-Build Predicted Crashes]])</f>
        <v>303.61299999999994</v>
      </c>
      <c r="E17" s="213">
        <f>Table1B1_SafetyBackup[[#This Row],[Estimated Total Crashes, No Build Scenario (Crashes/Yr)]]-Table1B1_SafetyBackup[[#This Row],[Predicted Crash Reduction, Preferred Action Scenario (Crashes/Yr)]]</f>
        <v>265.27227899999991</v>
      </c>
      <c r="F17" s="213">
        <f t="shared" ref="F17:F51" si="0">($F$16/$D$16)*D17</f>
        <v>38.340721000000002</v>
      </c>
      <c r="G17" s="210">
        <f>IF(Table1B1_SafetyBackup[[#This Row],[Year]]&lt;=Closeout,0,IF(Table1B1_SafetyBackup[[#This Row],[Year]]&lt;=Last_Year,Table1B1_SafetyBackup[[#This Row],[Predicted Crash Reduction, Preferred Action Scenario (Crashes/Yr)]],0))</f>
        <v>0</v>
      </c>
    </row>
    <row r="18" spans="2:8">
      <c r="B18" s="77">
        <f>First_Year+'Appendix B. Project Info'!B22</f>
        <v>2025</v>
      </c>
      <c r="C18" s="211">
        <f>'3D. TTS Backup All Years'!C53</f>
        <v>59545.466666666667</v>
      </c>
      <c r="D18" s="213">
        <f>SUM(Table1.1_Safety1[[#Totals],[No-Build Predicted Crashes]],Table1.2_Safety2[[#Totals],[No-Build Predicted Crashes]],Table1.3_Safety3[[#Totals],[No-Build Predicted Crashes]])</f>
        <v>303.61299999999994</v>
      </c>
      <c r="E18" s="213">
        <f>Table1B1_SafetyBackup[[#This Row],[Estimated Total Crashes, No Build Scenario (Crashes/Yr)]]-Table1B1_SafetyBackup[[#This Row],[Predicted Crash Reduction, Preferred Action Scenario (Crashes/Yr)]]</f>
        <v>265.27227899999991</v>
      </c>
      <c r="F18" s="213">
        <f t="shared" si="0"/>
        <v>38.340721000000002</v>
      </c>
      <c r="G18" s="210">
        <f>IF(Table1B1_SafetyBackup[[#This Row],[Year]]&lt;=Closeout,0,IF(Table1B1_SafetyBackup[[#This Row],[Year]]&lt;=Last_Year,Table1B1_SafetyBackup[[#This Row],[Predicted Crash Reduction, Preferred Action Scenario (Crashes/Yr)]],0))</f>
        <v>0</v>
      </c>
    </row>
    <row r="19" spans="2:8">
      <c r="B19" s="77">
        <f>First_Year+'Appendix B. Project Info'!B23</f>
        <v>2026</v>
      </c>
      <c r="C19" s="211">
        <f>'3D. TTS Backup All Years'!C54</f>
        <v>59698.73333333333</v>
      </c>
      <c r="D19" s="213">
        <f>SUM(Table1.1_Safety1[[#Totals],[No-Build Predicted Crashes]],Table1.2_Safety2[[#Totals],[No-Build Predicted Crashes]],Table1.3_Safety3[[#Totals],[No-Build Predicted Crashes]])</f>
        <v>303.61299999999994</v>
      </c>
      <c r="E19" s="213">
        <f>Table1B1_SafetyBackup[[#This Row],[Estimated Total Crashes, No Build Scenario (Crashes/Yr)]]-Table1B1_SafetyBackup[[#This Row],[Predicted Crash Reduction, Preferred Action Scenario (Crashes/Yr)]]</f>
        <v>265.27227899999991</v>
      </c>
      <c r="F19" s="213">
        <f t="shared" si="0"/>
        <v>38.340721000000002</v>
      </c>
      <c r="G19" s="210">
        <f>IF(Table1B1_SafetyBackup[[#This Row],[Year]]&lt;=Closeout,0,IF(Table1B1_SafetyBackup[[#This Row],[Year]]&lt;=Last_Year,Table1B1_SafetyBackup[[#This Row],[Predicted Crash Reduction, Preferred Action Scenario (Crashes/Yr)]],0))</f>
        <v>0</v>
      </c>
    </row>
    <row r="20" spans="2:8">
      <c r="B20" s="77">
        <f>First_Year+'Appendix B. Project Info'!B24</f>
        <v>2027</v>
      </c>
      <c r="C20" s="211">
        <f>'3D. TTS Backup All Years'!C55</f>
        <v>59852</v>
      </c>
      <c r="D20" s="213">
        <f>SUM(Table1.1_Safety1[[#Totals],[No-Build Predicted Crashes]],Table1.2_Safety2[[#Totals],[No-Build Predicted Crashes]],Table1.3_Safety3[[#Totals],[No-Build Predicted Crashes]])</f>
        <v>303.61299999999994</v>
      </c>
      <c r="E20" s="213">
        <f>Table1B1_SafetyBackup[[#This Row],[Estimated Total Crashes, No Build Scenario (Crashes/Yr)]]-Table1B1_SafetyBackup[[#This Row],[Predicted Crash Reduction, Preferred Action Scenario (Crashes/Yr)]]</f>
        <v>265.27227899999991</v>
      </c>
      <c r="F20" s="213">
        <f t="shared" si="0"/>
        <v>38.340721000000002</v>
      </c>
      <c r="G20" s="210">
        <f>IF(Table1B1_SafetyBackup[[#This Row],[Year]]&lt;=Closeout,0,IF(Table1B1_SafetyBackup[[#This Row],[Year]]&lt;=Last_Year,Table1B1_SafetyBackup[[#This Row],[Predicted Crash Reduction, Preferred Action Scenario (Crashes/Yr)]],0))</f>
        <v>0</v>
      </c>
    </row>
    <row r="21" spans="2:8">
      <c r="B21" s="98">
        <f>First_Year+'Appendix B. Project Info'!B25</f>
        <v>2028</v>
      </c>
      <c r="C21" s="216">
        <f>'3D. TTS Backup All Years'!C56</f>
        <v>59852</v>
      </c>
      <c r="D21" s="214">
        <f>SUM(Table1.1_Safety1[[#Totals],[No-Build Predicted Crashes]],Table1.2_Safety2[[#Totals],[No-Build Predicted Crashes]],Table1.3_Safety3[[#Totals],[No-Build Predicted Crashes]])</f>
        <v>303.61299999999994</v>
      </c>
      <c r="E21" s="214">
        <f>Table1B1_SafetyBackup[[#This Row],[Estimated Total Crashes, No Build Scenario (Crashes/Yr)]]-Table1B1_SafetyBackup[[#This Row],[Predicted Crash Reduction, Preferred Action Scenario (Crashes/Yr)]]</f>
        <v>265.27227899999991</v>
      </c>
      <c r="F21" s="214">
        <f t="shared" si="0"/>
        <v>38.340721000000002</v>
      </c>
      <c r="G21" s="121">
        <f>IF(Table1B1_SafetyBackup[[#This Row],[Year]]&lt;=Closeout,0,IF(Table1B1_SafetyBackup[[#This Row],[Year]]&lt;=Last_Year,Table1B1_SafetyBackup[[#This Row],[Predicted Crash Reduction, Preferred Action Scenario (Crashes/Yr)]],0))</f>
        <v>0</v>
      </c>
    </row>
    <row r="22" spans="2:8">
      <c r="B22" s="77">
        <f>First_Year+'Appendix B. Project Info'!B26</f>
        <v>2029</v>
      </c>
      <c r="C22" s="211">
        <f>'3D. TTS Backup All Years'!C57</f>
        <v>60158.533333333333</v>
      </c>
      <c r="D22" s="213">
        <f>SUM(Table1.1_Safety1[[#Totals],[No-Build Predicted Crashes]],Table1.2_Safety2[[#Totals],[No-Build Predicted Crashes]],Table1.3_Safety3[[#Totals],[No-Build Predicted Crashes]])</f>
        <v>303.61299999999994</v>
      </c>
      <c r="E22" s="213">
        <f>Table1B1_SafetyBackup[[#This Row],[Estimated Total Crashes, No Build Scenario (Crashes/Yr)]]-Table1B1_SafetyBackup[[#This Row],[Predicted Crash Reduction, Preferred Action Scenario (Crashes/Yr)]]</f>
        <v>265.27227899999991</v>
      </c>
      <c r="F22" s="213">
        <f t="shared" si="0"/>
        <v>38.340721000000002</v>
      </c>
      <c r="G22" s="210" cm="1">
        <f t="array" aca="1" ref="G22" ca="1">Table1.5_SafetySummary[30-Year Total]</f>
        <v>5292586.7099000001</v>
      </c>
      <c r="H22" s="63"/>
    </row>
    <row r="23" spans="2:8">
      <c r="B23" s="77">
        <f>First_Year+'Appendix B. Project Info'!B27</f>
        <v>2030</v>
      </c>
      <c r="C23" s="211">
        <f>'3D. TTS Backup All Years'!C58</f>
        <v>60311.8</v>
      </c>
      <c r="D23" s="213">
        <f>SUM(Table1.1_Safety1[[#Totals],[No-Build Predicted Crashes]],Table1.2_Safety2[[#Totals],[No-Build Predicted Crashes]],Table1.3_Safety3[[#Totals],[No-Build Predicted Crashes]])</f>
        <v>303.61299999999994</v>
      </c>
      <c r="E23" s="213">
        <f>Table1B1_SafetyBackup[[#This Row],[Estimated Total Crashes, No Build Scenario (Crashes/Yr)]]-Table1B1_SafetyBackup[[#This Row],[Predicted Crash Reduction, Preferred Action Scenario (Crashes/Yr)]]</f>
        <v>265.27227899999991</v>
      </c>
      <c r="F23" s="213">
        <f t="shared" si="0"/>
        <v>38.340721000000002</v>
      </c>
      <c r="G23" s="210">
        <f ca="1">G22*(Table1B1_SafetyBackup[[#This Row],[Predicted Crash Reduction, Preferred Action Scenario (Crashes/Yr)]]/F22)</f>
        <v>5292586.7099000001</v>
      </c>
    </row>
    <row r="24" spans="2:8">
      <c r="B24" s="77">
        <f>First_Year+'Appendix B. Project Info'!B28</f>
        <v>2031</v>
      </c>
      <c r="C24" s="211">
        <f>'3D. TTS Backup All Years'!C59</f>
        <v>60465.066666666666</v>
      </c>
      <c r="D24" s="213">
        <f>SUM(Table1.1_Safety1[[#Totals],[No-Build Predicted Crashes]],Table1.2_Safety2[[#Totals],[No-Build Predicted Crashes]],Table1.3_Safety3[[#Totals],[No-Build Predicted Crashes]])</f>
        <v>303.61299999999994</v>
      </c>
      <c r="E24" s="213">
        <f>Table1B1_SafetyBackup[[#This Row],[Estimated Total Crashes, No Build Scenario (Crashes/Yr)]]-Table1B1_SafetyBackup[[#This Row],[Predicted Crash Reduction, Preferred Action Scenario (Crashes/Yr)]]</f>
        <v>265.27227899999991</v>
      </c>
      <c r="F24" s="213">
        <f t="shared" si="0"/>
        <v>38.340721000000002</v>
      </c>
      <c r="G24" s="210">
        <f ca="1">G23*(Table1B1_SafetyBackup[[#This Row],[Predicted Crash Reduction, Preferred Action Scenario (Crashes/Yr)]]/F23)</f>
        <v>5292586.7099000001</v>
      </c>
    </row>
    <row r="25" spans="2:8">
      <c r="B25" s="77">
        <f>First_Year+'Appendix B. Project Info'!B29</f>
        <v>2032</v>
      </c>
      <c r="C25" s="211">
        <f>'3D. TTS Backup All Years'!C60</f>
        <v>60618.333333333336</v>
      </c>
      <c r="D25" s="213">
        <f>SUM(Table1.1_Safety1[[#Totals],[No-Build Predicted Crashes]],Table1.2_Safety2[[#Totals],[No-Build Predicted Crashes]],Table1.3_Safety3[[#Totals],[No-Build Predicted Crashes]])</f>
        <v>303.61299999999994</v>
      </c>
      <c r="E25" s="213">
        <f>Table1B1_SafetyBackup[[#This Row],[Estimated Total Crashes, No Build Scenario (Crashes/Yr)]]-Table1B1_SafetyBackup[[#This Row],[Predicted Crash Reduction, Preferred Action Scenario (Crashes/Yr)]]</f>
        <v>265.27227899999991</v>
      </c>
      <c r="F25" s="213">
        <f t="shared" si="0"/>
        <v>38.340721000000002</v>
      </c>
      <c r="G25" s="210">
        <f ca="1">G24*(Table1B1_SafetyBackup[[#This Row],[Predicted Crash Reduction, Preferred Action Scenario (Crashes/Yr)]]/F24)</f>
        <v>5292586.7099000001</v>
      </c>
    </row>
    <row r="26" spans="2:8">
      <c r="B26" s="77">
        <f>First_Year+'Appendix B. Project Info'!B30</f>
        <v>2033</v>
      </c>
      <c r="C26" s="211">
        <f>'3D. TTS Backup All Years'!C61</f>
        <v>60771.6</v>
      </c>
      <c r="D26" s="213">
        <f>SUM(Table1.1_Safety1[[#Totals],[No-Build Predicted Crashes]],Table1.2_Safety2[[#Totals],[No-Build Predicted Crashes]],Table1.3_Safety3[[#Totals],[No-Build Predicted Crashes]])</f>
        <v>303.61299999999994</v>
      </c>
      <c r="E26" s="213">
        <f>Table1B1_SafetyBackup[[#This Row],[Estimated Total Crashes, No Build Scenario (Crashes/Yr)]]-Table1B1_SafetyBackup[[#This Row],[Predicted Crash Reduction, Preferred Action Scenario (Crashes/Yr)]]</f>
        <v>265.27227899999991</v>
      </c>
      <c r="F26" s="213">
        <f t="shared" si="0"/>
        <v>38.340721000000002</v>
      </c>
      <c r="G26" s="210">
        <f ca="1">G25*(Table1B1_SafetyBackup[[#This Row],[Predicted Crash Reduction, Preferred Action Scenario (Crashes/Yr)]]/F25)</f>
        <v>5292586.7099000001</v>
      </c>
    </row>
    <row r="27" spans="2:8">
      <c r="B27" s="77">
        <f>First_Year+'Appendix B. Project Info'!B31</f>
        <v>2034</v>
      </c>
      <c r="C27" s="211">
        <f>'3D. TTS Backup All Years'!C62</f>
        <v>60924.866666666669</v>
      </c>
      <c r="D27" s="213">
        <f>SUM(Table1.1_Safety1[[#Totals],[No-Build Predicted Crashes]],Table1.2_Safety2[[#Totals],[No-Build Predicted Crashes]],Table1.3_Safety3[[#Totals],[No-Build Predicted Crashes]])</f>
        <v>303.61299999999994</v>
      </c>
      <c r="E27" s="213">
        <f>Table1B1_SafetyBackup[[#This Row],[Estimated Total Crashes, No Build Scenario (Crashes/Yr)]]-Table1B1_SafetyBackup[[#This Row],[Predicted Crash Reduction, Preferred Action Scenario (Crashes/Yr)]]</f>
        <v>265.27227899999991</v>
      </c>
      <c r="F27" s="213">
        <f t="shared" si="0"/>
        <v>38.340721000000002</v>
      </c>
      <c r="G27" s="210">
        <f ca="1">G26*(Table1B1_SafetyBackup[[#This Row],[Predicted Crash Reduction, Preferred Action Scenario (Crashes/Yr)]]/F26)</f>
        <v>5292586.7099000001</v>
      </c>
    </row>
    <row r="28" spans="2:8">
      <c r="B28" s="77">
        <f>First_Year+'Appendix B. Project Info'!B32</f>
        <v>2035</v>
      </c>
      <c r="C28" s="211">
        <f>'3D. TTS Backup All Years'!C63</f>
        <v>61078.133333333331</v>
      </c>
      <c r="D28" s="213">
        <f>SUM(Table1.1_Safety1[[#Totals],[No-Build Predicted Crashes]],Table1.2_Safety2[[#Totals],[No-Build Predicted Crashes]],Table1.3_Safety3[[#Totals],[No-Build Predicted Crashes]])</f>
        <v>303.61299999999994</v>
      </c>
      <c r="E28" s="213">
        <f>Table1B1_SafetyBackup[[#This Row],[Estimated Total Crashes, No Build Scenario (Crashes/Yr)]]-Table1B1_SafetyBackup[[#This Row],[Predicted Crash Reduction, Preferred Action Scenario (Crashes/Yr)]]</f>
        <v>265.27227899999991</v>
      </c>
      <c r="F28" s="213">
        <f t="shared" si="0"/>
        <v>38.340721000000002</v>
      </c>
      <c r="G28" s="210">
        <f ca="1">G27*(Table1B1_SafetyBackup[[#This Row],[Predicted Crash Reduction, Preferred Action Scenario (Crashes/Yr)]]/F27)</f>
        <v>5292586.7099000001</v>
      </c>
    </row>
    <row r="29" spans="2:8">
      <c r="B29" s="77">
        <f>First_Year+'Appendix B. Project Info'!B33</f>
        <v>2036</v>
      </c>
      <c r="C29" s="211">
        <f>'3D. TTS Backup All Years'!C64</f>
        <v>61231.4</v>
      </c>
      <c r="D29" s="213">
        <f>SUM(Table1.1_Safety1[[#Totals],[No-Build Predicted Crashes]],Table1.2_Safety2[[#Totals],[No-Build Predicted Crashes]],Table1.3_Safety3[[#Totals],[No-Build Predicted Crashes]])</f>
        <v>303.61299999999994</v>
      </c>
      <c r="E29" s="213">
        <f>Table1B1_SafetyBackup[[#This Row],[Estimated Total Crashes, No Build Scenario (Crashes/Yr)]]-Table1B1_SafetyBackup[[#This Row],[Predicted Crash Reduction, Preferred Action Scenario (Crashes/Yr)]]</f>
        <v>265.27227899999991</v>
      </c>
      <c r="F29" s="213">
        <f t="shared" si="0"/>
        <v>38.340721000000002</v>
      </c>
      <c r="G29" s="210">
        <f ca="1">G28*(Table1B1_SafetyBackup[[#This Row],[Predicted Crash Reduction, Preferred Action Scenario (Crashes/Yr)]]/F28)</f>
        <v>5292586.7099000001</v>
      </c>
    </row>
    <row r="30" spans="2:8">
      <c r="B30" s="77">
        <f>First_Year+'Appendix B. Project Info'!B34</f>
        <v>2037</v>
      </c>
      <c r="C30" s="211">
        <f>'3D. TTS Backup All Years'!C65</f>
        <v>61384.666666666664</v>
      </c>
      <c r="D30" s="213">
        <f>SUM(Table1.1_Safety1[[#Totals],[No-Build Predicted Crashes]],Table1.2_Safety2[[#Totals],[No-Build Predicted Crashes]],Table1.3_Safety3[[#Totals],[No-Build Predicted Crashes]])</f>
        <v>303.61299999999994</v>
      </c>
      <c r="E30" s="213">
        <f>Table1B1_SafetyBackup[[#This Row],[Estimated Total Crashes, No Build Scenario (Crashes/Yr)]]-Table1B1_SafetyBackup[[#This Row],[Predicted Crash Reduction, Preferred Action Scenario (Crashes/Yr)]]</f>
        <v>265.27227899999991</v>
      </c>
      <c r="F30" s="213">
        <f t="shared" si="0"/>
        <v>38.340721000000002</v>
      </c>
      <c r="G30" s="210">
        <f ca="1">G29*(Table1B1_SafetyBackup[[#This Row],[Predicted Crash Reduction, Preferred Action Scenario (Crashes/Yr)]]/F29)</f>
        <v>5292586.7099000001</v>
      </c>
    </row>
    <row r="31" spans="2:8">
      <c r="B31" s="77">
        <f>First_Year+'Appendix B. Project Info'!B35</f>
        <v>2038</v>
      </c>
      <c r="C31" s="211">
        <f>'3D. TTS Backup All Years'!C66</f>
        <v>61537.933333333334</v>
      </c>
      <c r="D31" s="213">
        <f>SUM(Table1.1_Safety1[[#Totals],[No-Build Predicted Crashes]],Table1.2_Safety2[[#Totals],[No-Build Predicted Crashes]],Table1.3_Safety3[[#Totals],[No-Build Predicted Crashes]])</f>
        <v>303.61299999999994</v>
      </c>
      <c r="E31" s="213">
        <f>Table1B1_SafetyBackup[[#This Row],[Estimated Total Crashes, No Build Scenario (Crashes/Yr)]]-Table1B1_SafetyBackup[[#This Row],[Predicted Crash Reduction, Preferred Action Scenario (Crashes/Yr)]]</f>
        <v>265.27227899999991</v>
      </c>
      <c r="F31" s="213">
        <f t="shared" si="0"/>
        <v>38.340721000000002</v>
      </c>
      <c r="G31" s="210">
        <f ca="1">G30*(Table1B1_SafetyBackup[[#This Row],[Predicted Crash Reduction, Preferred Action Scenario (Crashes/Yr)]]/F30)</f>
        <v>5292586.7099000001</v>
      </c>
    </row>
    <row r="32" spans="2:8">
      <c r="B32" s="77">
        <f>First_Year+'Appendix B. Project Info'!B36</f>
        <v>2039</v>
      </c>
      <c r="C32" s="211">
        <f>'3D. TTS Backup All Years'!C67</f>
        <v>61691.199999999997</v>
      </c>
      <c r="D32" s="213">
        <f>SUM(Table1.1_Safety1[[#Totals],[No-Build Predicted Crashes]],Table1.2_Safety2[[#Totals],[No-Build Predicted Crashes]],Table1.3_Safety3[[#Totals],[No-Build Predicted Crashes]])</f>
        <v>303.61299999999994</v>
      </c>
      <c r="E32" s="213">
        <f>Table1B1_SafetyBackup[[#This Row],[Estimated Total Crashes, No Build Scenario (Crashes/Yr)]]-Table1B1_SafetyBackup[[#This Row],[Predicted Crash Reduction, Preferred Action Scenario (Crashes/Yr)]]</f>
        <v>265.27227899999991</v>
      </c>
      <c r="F32" s="213">
        <f t="shared" si="0"/>
        <v>38.340721000000002</v>
      </c>
      <c r="G32" s="210">
        <f ca="1">G31*(Table1B1_SafetyBackup[[#This Row],[Predicted Crash Reduction, Preferred Action Scenario (Crashes/Yr)]]/F31)</f>
        <v>5292586.7099000001</v>
      </c>
    </row>
    <row r="33" spans="2:7">
      <c r="B33" s="77">
        <f>First_Year+'Appendix B. Project Info'!B37</f>
        <v>2040</v>
      </c>
      <c r="C33" s="211">
        <f>'3D. TTS Backup All Years'!C68</f>
        <v>61844.466666666667</v>
      </c>
      <c r="D33" s="213">
        <f>SUM(Table1.1_Safety1[[#Totals],[No-Build Predicted Crashes]],Table1.2_Safety2[[#Totals],[No-Build Predicted Crashes]],Table1.3_Safety3[[#Totals],[No-Build Predicted Crashes]])</f>
        <v>303.61299999999994</v>
      </c>
      <c r="E33" s="213">
        <f>Table1B1_SafetyBackup[[#This Row],[Estimated Total Crashes, No Build Scenario (Crashes/Yr)]]-Table1B1_SafetyBackup[[#This Row],[Predicted Crash Reduction, Preferred Action Scenario (Crashes/Yr)]]</f>
        <v>265.27227899999991</v>
      </c>
      <c r="F33" s="213">
        <f t="shared" si="0"/>
        <v>38.340721000000002</v>
      </c>
      <c r="G33" s="210">
        <f ca="1">G32*(Table1B1_SafetyBackup[[#This Row],[Predicted Crash Reduction, Preferred Action Scenario (Crashes/Yr)]]/F32)</f>
        <v>5292586.7099000001</v>
      </c>
    </row>
    <row r="34" spans="2:7">
      <c r="B34" s="77">
        <f>First_Year+'Appendix B. Project Info'!B38</f>
        <v>2041</v>
      </c>
      <c r="C34" s="211">
        <f>'3D. TTS Backup All Years'!C69</f>
        <v>61997.733333333337</v>
      </c>
      <c r="D34" s="213">
        <f>SUM(Table1.1_Safety1[[#Totals],[No-Build Predicted Crashes]],Table1.2_Safety2[[#Totals],[No-Build Predicted Crashes]],Table1.3_Safety3[[#Totals],[No-Build Predicted Crashes]])</f>
        <v>303.61299999999994</v>
      </c>
      <c r="E34" s="213">
        <f>Table1B1_SafetyBackup[[#This Row],[Estimated Total Crashes, No Build Scenario (Crashes/Yr)]]-Table1B1_SafetyBackup[[#This Row],[Predicted Crash Reduction, Preferred Action Scenario (Crashes/Yr)]]</f>
        <v>265.27227899999991</v>
      </c>
      <c r="F34" s="213">
        <f t="shared" si="0"/>
        <v>38.340721000000002</v>
      </c>
      <c r="G34" s="210">
        <f ca="1">G33*(Table1B1_SafetyBackup[[#This Row],[Predicted Crash Reduction, Preferred Action Scenario (Crashes/Yr)]]/F33)</f>
        <v>5292586.7099000001</v>
      </c>
    </row>
    <row r="35" spans="2:7">
      <c r="B35" s="77">
        <f>First_Year+'Appendix B. Project Info'!B39</f>
        <v>2042</v>
      </c>
      <c r="C35" s="211">
        <f>'3D. TTS Backup All Years'!C70</f>
        <v>62151</v>
      </c>
      <c r="D35" s="213">
        <f>SUM(Table1.1_Safety1[[#Totals],[No-Build Predicted Crashes]],Table1.2_Safety2[[#Totals],[No-Build Predicted Crashes]],Table1.3_Safety3[[#Totals],[No-Build Predicted Crashes]])</f>
        <v>303.61299999999994</v>
      </c>
      <c r="E35" s="213">
        <f>Table1B1_SafetyBackup[[#This Row],[Estimated Total Crashes, No Build Scenario (Crashes/Yr)]]-Table1B1_SafetyBackup[[#This Row],[Predicted Crash Reduction, Preferred Action Scenario (Crashes/Yr)]]</f>
        <v>265.27227899999991</v>
      </c>
      <c r="F35" s="213">
        <f t="shared" si="0"/>
        <v>38.340721000000002</v>
      </c>
      <c r="G35" s="210">
        <f ca="1">G34*(Table1B1_SafetyBackup[[#This Row],[Predicted Crash Reduction, Preferred Action Scenario (Crashes/Yr)]]/F34)</f>
        <v>5292586.7099000001</v>
      </c>
    </row>
    <row r="36" spans="2:7">
      <c r="B36" s="77">
        <f>First_Year+'Appendix B. Project Info'!B40</f>
        <v>2043</v>
      </c>
      <c r="C36" s="211">
        <f>'3D. TTS Backup All Years'!C71</f>
        <v>62304.26666666667</v>
      </c>
      <c r="D36" s="213">
        <f>SUM(Table1.1_Safety1[[#Totals],[No-Build Predicted Crashes]],Table1.2_Safety2[[#Totals],[No-Build Predicted Crashes]],Table1.3_Safety3[[#Totals],[No-Build Predicted Crashes]])</f>
        <v>303.61299999999994</v>
      </c>
      <c r="E36" s="213">
        <f>Table1B1_SafetyBackup[[#This Row],[Estimated Total Crashes, No Build Scenario (Crashes/Yr)]]-Table1B1_SafetyBackup[[#This Row],[Predicted Crash Reduction, Preferred Action Scenario (Crashes/Yr)]]</f>
        <v>265.27227899999991</v>
      </c>
      <c r="F36" s="213">
        <f t="shared" si="0"/>
        <v>38.340721000000002</v>
      </c>
      <c r="G36" s="210">
        <f ca="1">G35*(Table1B1_SafetyBackup[[#This Row],[Predicted Crash Reduction, Preferred Action Scenario (Crashes/Yr)]]/F35)</f>
        <v>5292586.7099000001</v>
      </c>
    </row>
    <row r="37" spans="2:7">
      <c r="B37" s="77">
        <f>First_Year+'Appendix B. Project Info'!B41</f>
        <v>2044</v>
      </c>
      <c r="C37" s="211">
        <f>'3D. TTS Backup All Years'!C72</f>
        <v>62457.533333333333</v>
      </c>
      <c r="D37" s="213">
        <f>SUM(Table1.1_Safety1[[#Totals],[No-Build Predicted Crashes]],Table1.2_Safety2[[#Totals],[No-Build Predicted Crashes]],Table1.3_Safety3[[#Totals],[No-Build Predicted Crashes]])</f>
        <v>303.61299999999994</v>
      </c>
      <c r="E37" s="213">
        <f>Table1B1_SafetyBackup[[#This Row],[Estimated Total Crashes, No Build Scenario (Crashes/Yr)]]-Table1B1_SafetyBackup[[#This Row],[Predicted Crash Reduction, Preferred Action Scenario (Crashes/Yr)]]</f>
        <v>265.27227899999991</v>
      </c>
      <c r="F37" s="213">
        <f t="shared" si="0"/>
        <v>38.340721000000002</v>
      </c>
      <c r="G37" s="210">
        <f ca="1">G36*(Table1B1_SafetyBackup[[#This Row],[Predicted Crash Reduction, Preferred Action Scenario (Crashes/Yr)]]/F36)</f>
        <v>5292586.7099000001</v>
      </c>
    </row>
    <row r="38" spans="2:7">
      <c r="B38" s="77">
        <f>First_Year+'Appendix B. Project Info'!B42</f>
        <v>2045</v>
      </c>
      <c r="C38" s="211">
        <f>'3D. TTS Backup All Years'!C73</f>
        <v>62610.8</v>
      </c>
      <c r="D38" s="213">
        <f>SUM(Table1.1_Safety1[[#Totals],[No-Build Predicted Crashes]],Table1.2_Safety2[[#Totals],[No-Build Predicted Crashes]],Table1.3_Safety3[[#Totals],[No-Build Predicted Crashes]])</f>
        <v>303.61299999999994</v>
      </c>
      <c r="E38" s="213">
        <f>Table1B1_SafetyBackup[[#This Row],[Estimated Total Crashes, No Build Scenario (Crashes/Yr)]]-Table1B1_SafetyBackup[[#This Row],[Predicted Crash Reduction, Preferred Action Scenario (Crashes/Yr)]]</f>
        <v>265.27227899999991</v>
      </c>
      <c r="F38" s="213">
        <f t="shared" si="0"/>
        <v>38.340721000000002</v>
      </c>
      <c r="G38" s="210">
        <f ca="1">G37*(Table1B1_SafetyBackup[[#This Row],[Predicted Crash Reduction, Preferred Action Scenario (Crashes/Yr)]]/F37)</f>
        <v>5292586.7099000001</v>
      </c>
    </row>
    <row r="39" spans="2:7">
      <c r="B39" s="77">
        <f>First_Year+'Appendix B. Project Info'!B43</f>
        <v>2046</v>
      </c>
      <c r="C39" s="211">
        <f>'3D. TTS Backup All Years'!C74</f>
        <v>62764.066666666666</v>
      </c>
      <c r="D39" s="213">
        <f>SUM(Table1.1_Safety1[[#Totals],[No-Build Predicted Crashes]],Table1.2_Safety2[[#Totals],[No-Build Predicted Crashes]],Table1.3_Safety3[[#Totals],[No-Build Predicted Crashes]])</f>
        <v>303.61299999999994</v>
      </c>
      <c r="E39" s="213">
        <f>Table1B1_SafetyBackup[[#This Row],[Estimated Total Crashes, No Build Scenario (Crashes/Yr)]]-Table1B1_SafetyBackup[[#This Row],[Predicted Crash Reduction, Preferred Action Scenario (Crashes/Yr)]]</f>
        <v>265.27227899999991</v>
      </c>
      <c r="F39" s="213">
        <f t="shared" si="0"/>
        <v>38.340721000000002</v>
      </c>
      <c r="G39" s="210">
        <f ca="1">G38*(Table1B1_SafetyBackup[[#This Row],[Predicted Crash Reduction, Preferred Action Scenario (Crashes/Yr)]]/F38)</f>
        <v>5292586.7099000001</v>
      </c>
    </row>
    <row r="40" spans="2:7">
      <c r="B40" s="77">
        <f>First_Year+'Appendix B. Project Info'!B44</f>
        <v>2047</v>
      </c>
      <c r="C40" s="211">
        <f>'3D. TTS Backup All Years'!C75</f>
        <v>62917.333333333336</v>
      </c>
      <c r="D40" s="213">
        <f>SUM(Table1.1_Safety1[[#Totals],[No-Build Predicted Crashes]],Table1.2_Safety2[[#Totals],[No-Build Predicted Crashes]],Table1.3_Safety3[[#Totals],[No-Build Predicted Crashes]])</f>
        <v>303.61299999999994</v>
      </c>
      <c r="E40" s="213">
        <f>Table1B1_SafetyBackup[[#This Row],[Estimated Total Crashes, No Build Scenario (Crashes/Yr)]]-Table1B1_SafetyBackup[[#This Row],[Predicted Crash Reduction, Preferred Action Scenario (Crashes/Yr)]]</f>
        <v>265.27227899999991</v>
      </c>
      <c r="F40" s="213">
        <f t="shared" si="0"/>
        <v>38.340721000000002</v>
      </c>
      <c r="G40" s="210">
        <f ca="1">G39*(Table1B1_SafetyBackup[[#This Row],[Predicted Crash Reduction, Preferred Action Scenario (Crashes/Yr)]]/F39)</f>
        <v>5292586.7099000001</v>
      </c>
    </row>
    <row r="41" spans="2:7">
      <c r="B41" s="77">
        <f>First_Year+'Appendix B. Project Info'!B45</f>
        <v>2048</v>
      </c>
      <c r="C41" s="211">
        <f>'3D. TTS Backup All Years'!C76</f>
        <v>63070.6</v>
      </c>
      <c r="D41" s="213">
        <f>SUM(Table1.1_Safety1[[#Totals],[No-Build Predicted Crashes]],Table1.2_Safety2[[#Totals],[No-Build Predicted Crashes]],Table1.3_Safety3[[#Totals],[No-Build Predicted Crashes]])</f>
        <v>303.61299999999994</v>
      </c>
      <c r="E41" s="213">
        <f>Table1B1_SafetyBackup[[#This Row],[Estimated Total Crashes, No Build Scenario (Crashes/Yr)]]-Table1B1_SafetyBackup[[#This Row],[Predicted Crash Reduction, Preferred Action Scenario (Crashes/Yr)]]</f>
        <v>265.27227899999991</v>
      </c>
      <c r="F41" s="213">
        <f t="shared" si="0"/>
        <v>38.340721000000002</v>
      </c>
      <c r="G41" s="210">
        <f ca="1">G40*(Table1B1_SafetyBackup[[#This Row],[Predicted Crash Reduction, Preferred Action Scenario (Crashes/Yr)]]/F40)</f>
        <v>5292586.7099000001</v>
      </c>
    </row>
    <row r="42" spans="2:7">
      <c r="B42" s="77">
        <f>First_Year+'Appendix B. Project Info'!B46</f>
        <v>2049</v>
      </c>
      <c r="C42" s="211">
        <f>'3D. TTS Backup All Years'!C77</f>
        <v>63223.866666666669</v>
      </c>
      <c r="D42" s="213">
        <f>SUM(Table1.1_Safety1[[#Totals],[No-Build Predicted Crashes]],Table1.2_Safety2[[#Totals],[No-Build Predicted Crashes]],Table1.3_Safety3[[#Totals],[No-Build Predicted Crashes]])</f>
        <v>303.61299999999994</v>
      </c>
      <c r="E42" s="213">
        <f>Table1B1_SafetyBackup[[#This Row],[Estimated Total Crashes, No Build Scenario (Crashes/Yr)]]-Table1B1_SafetyBackup[[#This Row],[Predicted Crash Reduction, Preferred Action Scenario (Crashes/Yr)]]</f>
        <v>265.27227899999991</v>
      </c>
      <c r="F42" s="213">
        <f t="shared" si="0"/>
        <v>38.340721000000002</v>
      </c>
      <c r="G42" s="210">
        <f ca="1">G41*(Table1B1_SafetyBackup[[#This Row],[Predicted Crash Reduction, Preferred Action Scenario (Crashes/Yr)]]/F41)</f>
        <v>5292586.7099000001</v>
      </c>
    </row>
    <row r="43" spans="2:7">
      <c r="B43" s="77">
        <f>First_Year+'Appendix B. Project Info'!B47</f>
        <v>2050</v>
      </c>
      <c r="C43" s="211">
        <f>'3D. TTS Backup All Years'!C78</f>
        <v>63377.133333333331</v>
      </c>
      <c r="D43" s="213">
        <f>SUM(Table1.1_Safety1[[#Totals],[No-Build Predicted Crashes]],Table1.2_Safety2[[#Totals],[No-Build Predicted Crashes]],Table1.3_Safety3[[#Totals],[No-Build Predicted Crashes]])</f>
        <v>303.61299999999994</v>
      </c>
      <c r="E43" s="213">
        <f>Table1B1_SafetyBackup[[#This Row],[Estimated Total Crashes, No Build Scenario (Crashes/Yr)]]-Table1B1_SafetyBackup[[#This Row],[Predicted Crash Reduction, Preferred Action Scenario (Crashes/Yr)]]</f>
        <v>265.27227899999991</v>
      </c>
      <c r="F43" s="213">
        <f t="shared" si="0"/>
        <v>38.340721000000002</v>
      </c>
      <c r="G43" s="210">
        <f ca="1">G42*(Table1B1_SafetyBackup[[#This Row],[Predicted Crash Reduction, Preferred Action Scenario (Crashes/Yr)]]/F42)</f>
        <v>5292586.7099000001</v>
      </c>
    </row>
    <row r="44" spans="2:7">
      <c r="B44" s="77">
        <f>First_Year+'Appendix B. Project Info'!B48</f>
        <v>2051</v>
      </c>
      <c r="C44" s="211">
        <f>'3D. TTS Backup All Years'!C79</f>
        <v>63530.400000000001</v>
      </c>
      <c r="D44" s="213">
        <f>SUM(Table1.1_Safety1[[#Totals],[No-Build Predicted Crashes]],Table1.2_Safety2[[#Totals],[No-Build Predicted Crashes]],Table1.3_Safety3[[#Totals],[No-Build Predicted Crashes]])</f>
        <v>303.61299999999994</v>
      </c>
      <c r="E44" s="213">
        <f>Table1B1_SafetyBackup[[#This Row],[Estimated Total Crashes, No Build Scenario (Crashes/Yr)]]-Table1B1_SafetyBackup[[#This Row],[Predicted Crash Reduction, Preferred Action Scenario (Crashes/Yr)]]</f>
        <v>265.27227899999991</v>
      </c>
      <c r="F44" s="213">
        <f t="shared" si="0"/>
        <v>38.340721000000002</v>
      </c>
      <c r="G44" s="210">
        <f ca="1">G43*(Table1B1_SafetyBackup[[#This Row],[Predicted Crash Reduction, Preferred Action Scenario (Crashes/Yr)]]/F43)</f>
        <v>5292586.7099000001</v>
      </c>
    </row>
    <row r="45" spans="2:7">
      <c r="B45" s="77">
        <f>First_Year+'Appendix B. Project Info'!B49</f>
        <v>2052</v>
      </c>
      <c r="C45" s="211">
        <f>'3D. TTS Backup All Years'!C80</f>
        <v>63683.666666666664</v>
      </c>
      <c r="D45" s="213">
        <f>SUM(Table1.1_Safety1[[#Totals],[No-Build Predicted Crashes]],Table1.2_Safety2[[#Totals],[No-Build Predicted Crashes]],Table1.3_Safety3[[#Totals],[No-Build Predicted Crashes]])</f>
        <v>303.61299999999994</v>
      </c>
      <c r="E45" s="213">
        <f>Table1B1_SafetyBackup[[#This Row],[Estimated Total Crashes, No Build Scenario (Crashes/Yr)]]-Table1B1_SafetyBackup[[#This Row],[Predicted Crash Reduction, Preferred Action Scenario (Crashes/Yr)]]</f>
        <v>265.27227899999991</v>
      </c>
      <c r="F45" s="213">
        <f t="shared" si="0"/>
        <v>38.340721000000002</v>
      </c>
      <c r="G45" s="210">
        <f ca="1">G44*(Table1B1_SafetyBackup[[#This Row],[Predicted Crash Reduction, Preferred Action Scenario (Crashes/Yr)]]/F44)</f>
        <v>5292586.7099000001</v>
      </c>
    </row>
    <row r="46" spans="2:7">
      <c r="B46" s="77">
        <f>First_Year+'Appendix B. Project Info'!B50</f>
        <v>2053</v>
      </c>
      <c r="C46" s="211">
        <f>'3D. TTS Backup All Years'!C81</f>
        <v>63836.933333333334</v>
      </c>
      <c r="D46" s="213">
        <f>SUM(Table1.1_Safety1[[#Totals],[No-Build Predicted Crashes]],Table1.2_Safety2[[#Totals],[No-Build Predicted Crashes]],Table1.3_Safety3[[#Totals],[No-Build Predicted Crashes]])</f>
        <v>303.61299999999994</v>
      </c>
      <c r="E46" s="213">
        <f>Table1B1_SafetyBackup[[#This Row],[Estimated Total Crashes, No Build Scenario (Crashes/Yr)]]-Table1B1_SafetyBackup[[#This Row],[Predicted Crash Reduction, Preferred Action Scenario (Crashes/Yr)]]</f>
        <v>265.27227899999991</v>
      </c>
      <c r="F46" s="213">
        <f t="shared" si="0"/>
        <v>38.340721000000002</v>
      </c>
      <c r="G46" s="210">
        <f ca="1">G45*(Table1B1_SafetyBackup[[#This Row],[Predicted Crash Reduction, Preferred Action Scenario (Crashes/Yr)]]/F45)</f>
        <v>5292586.7099000001</v>
      </c>
    </row>
    <row r="47" spans="2:7">
      <c r="B47" s="77">
        <f>First_Year+'Appendix B. Project Info'!B51</f>
        <v>2054</v>
      </c>
      <c r="C47" s="211">
        <f>'3D. TTS Backup All Years'!C82</f>
        <v>63990.2</v>
      </c>
      <c r="D47" s="213">
        <f>SUM(Table1.1_Safety1[[#Totals],[No-Build Predicted Crashes]],Table1.2_Safety2[[#Totals],[No-Build Predicted Crashes]],Table1.3_Safety3[[#Totals],[No-Build Predicted Crashes]])</f>
        <v>303.61299999999994</v>
      </c>
      <c r="E47" s="213">
        <f>Table1B1_SafetyBackup[[#This Row],[Estimated Total Crashes, No Build Scenario (Crashes/Yr)]]-Table1B1_SafetyBackup[[#This Row],[Predicted Crash Reduction, Preferred Action Scenario (Crashes/Yr)]]</f>
        <v>265.27227899999991</v>
      </c>
      <c r="F47" s="213">
        <f t="shared" si="0"/>
        <v>38.340721000000002</v>
      </c>
      <c r="G47" s="210">
        <f ca="1">G46*(Table1B1_SafetyBackup[[#This Row],[Predicted Crash Reduction, Preferred Action Scenario (Crashes/Yr)]]/F46)</f>
        <v>5292586.7099000001</v>
      </c>
    </row>
    <row r="48" spans="2:7">
      <c r="B48" s="77">
        <f>First_Year+'Appendix B. Project Info'!B52</f>
        <v>2055</v>
      </c>
      <c r="C48" s="211">
        <f>'3D. TTS Backup All Years'!C83</f>
        <v>64143.466666666667</v>
      </c>
      <c r="D48" s="213">
        <f>SUM(Table1.1_Safety1[[#Totals],[No-Build Predicted Crashes]],Table1.2_Safety2[[#Totals],[No-Build Predicted Crashes]],Table1.3_Safety3[[#Totals],[No-Build Predicted Crashes]])</f>
        <v>303.61299999999994</v>
      </c>
      <c r="E48" s="213">
        <f>Table1B1_SafetyBackup[[#This Row],[Estimated Total Crashes, No Build Scenario (Crashes/Yr)]]-Table1B1_SafetyBackup[[#This Row],[Predicted Crash Reduction, Preferred Action Scenario (Crashes/Yr)]]</f>
        <v>265.27227899999991</v>
      </c>
      <c r="F48" s="213">
        <f t="shared" si="0"/>
        <v>38.340721000000002</v>
      </c>
      <c r="G48" s="210">
        <f ca="1">G47*(Table1B1_SafetyBackup[[#This Row],[Predicted Crash Reduction, Preferred Action Scenario (Crashes/Yr)]]/F47)</f>
        <v>5292586.7099000001</v>
      </c>
    </row>
    <row r="49" spans="2:7">
      <c r="B49" s="77">
        <f>First_Year+'Appendix B. Project Info'!B53</f>
        <v>2056</v>
      </c>
      <c r="C49" s="211">
        <f>'3D. TTS Backup All Years'!C84</f>
        <v>64296.733333333337</v>
      </c>
      <c r="D49" s="213">
        <f>SUM(Table1.1_Safety1[[#Totals],[No-Build Predicted Crashes]],Table1.2_Safety2[[#Totals],[No-Build Predicted Crashes]],Table1.3_Safety3[[#Totals],[No-Build Predicted Crashes]])</f>
        <v>303.61299999999994</v>
      </c>
      <c r="E49" s="213">
        <f>Table1B1_SafetyBackup[[#This Row],[Estimated Total Crashes, No Build Scenario (Crashes/Yr)]]-Table1B1_SafetyBackup[[#This Row],[Predicted Crash Reduction, Preferred Action Scenario (Crashes/Yr)]]</f>
        <v>265.27227899999991</v>
      </c>
      <c r="F49" s="213">
        <f t="shared" si="0"/>
        <v>38.340721000000002</v>
      </c>
      <c r="G49" s="210">
        <f ca="1">G48*(Table1B1_SafetyBackup[[#This Row],[Predicted Crash Reduction, Preferred Action Scenario (Crashes/Yr)]]/F48)</f>
        <v>5292586.7099000001</v>
      </c>
    </row>
    <row r="50" spans="2:7">
      <c r="B50" s="77">
        <f>First_Year+'Appendix B. Project Info'!B54</f>
        <v>2057</v>
      </c>
      <c r="C50" s="211">
        <f>'3D. TTS Backup All Years'!C85</f>
        <v>64450</v>
      </c>
      <c r="D50" s="213">
        <f>SUM(Table1.1_Safety1[[#Totals],[No-Build Predicted Crashes]],Table1.2_Safety2[[#Totals],[No-Build Predicted Crashes]],Table1.3_Safety3[[#Totals],[No-Build Predicted Crashes]])</f>
        <v>303.61299999999994</v>
      </c>
      <c r="E50" s="213">
        <f>Table1B1_SafetyBackup[[#This Row],[Estimated Total Crashes, No Build Scenario (Crashes/Yr)]]-Table1B1_SafetyBackup[[#This Row],[Predicted Crash Reduction, Preferred Action Scenario (Crashes/Yr)]]</f>
        <v>265.27227899999991</v>
      </c>
      <c r="F50" s="213">
        <f t="shared" si="0"/>
        <v>38.340721000000002</v>
      </c>
      <c r="G50" s="210">
        <f ca="1">G49*(Table1B1_SafetyBackup[[#This Row],[Predicted Crash Reduction, Preferred Action Scenario (Crashes/Yr)]]/F49)</f>
        <v>5292586.7099000001</v>
      </c>
    </row>
    <row r="51" spans="2:7">
      <c r="B51" s="77">
        <f>First_Year+'Appendix B. Project Info'!B55</f>
        <v>2058</v>
      </c>
      <c r="C51" s="215">
        <f>'3D. TTS Backup All Years'!C86</f>
        <v>64603.26666666667</v>
      </c>
      <c r="D51" s="213">
        <f>SUM(Table1.1_Safety1[[#Totals],[No-Build Predicted Crashes]],Table1.2_Safety2[[#Totals],[No-Build Predicted Crashes]],Table1.3_Safety3[[#Totals],[No-Build Predicted Crashes]])</f>
        <v>303.61299999999994</v>
      </c>
      <c r="E51" s="213">
        <f>Table1B1_SafetyBackup[[#This Row],[Estimated Total Crashes, No Build Scenario (Crashes/Yr)]]-Table1B1_SafetyBackup[[#This Row],[Predicted Crash Reduction, Preferred Action Scenario (Crashes/Yr)]]</f>
        <v>265.27227899999991</v>
      </c>
      <c r="F51" s="213">
        <f t="shared" si="0"/>
        <v>38.340721000000002</v>
      </c>
      <c r="G51" s="210">
        <f ca="1">G50*(Table1B1_SafetyBackup[[#This Row],[Predicted Crash Reduction, Preferred Action Scenario (Crashes/Yr)]]/F50)</f>
        <v>5292586.7099000001</v>
      </c>
    </row>
    <row r="52" spans="2:7">
      <c r="B52" s="77"/>
      <c r="C52" s="208">
        <f>SUBTOTAL(109,Table1B1_SafetyBackup[Traffic Count])</f>
        <v>2229006.333333333</v>
      </c>
      <c r="D52" s="208">
        <f>SUBTOTAL(109,Table1B1_SafetyBackup[Estimated Total Crashes, No Build Scenario (Crashes/Yr)])</f>
        <v>10930.067999999996</v>
      </c>
      <c r="E52" s="209">
        <f>SUBTOTAL(109,Table1B1_SafetyBackup[Estimated Total Crashes, Preferred Action Scenario])</f>
        <v>9549.8020439999982</v>
      </c>
      <c r="F52" s="68">
        <f>SUBTOTAL(109,Table1B1_SafetyBackup[Predicted Crash Reduction, Preferred Action Scenario (Crashes/Yr)])</f>
        <v>1380.2659560000009</v>
      </c>
      <c r="G52" s="68">
        <f ca="1">SUBTOTAL(109,Table1B1_SafetyBackup[Realized Safety Benefit ($/Year)])</f>
        <v>158777601.29700005</v>
      </c>
    </row>
    <row r="53" spans="2:7">
      <c r="B53" s="77"/>
    </row>
  </sheetData>
  <mergeCells count="6">
    <mergeCell ref="B11:I11"/>
    <mergeCell ref="A1:I1"/>
    <mergeCell ref="B7:I7"/>
    <mergeCell ref="B8:I8"/>
    <mergeCell ref="B9:I9"/>
    <mergeCell ref="B10:I10"/>
  </mergeCells>
  <pageMargins left="0.7" right="0.7" top="0.75" bottom="0.75" header="0.3" footer="0.3"/>
  <pageSetup scale="52" orientation="portrait" r:id="rId1"/>
  <ignoredErrors>
    <ignoredError sqref="G23:G51" calculatedColumn="1"/>
  </ignoredErrors>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pageSetUpPr fitToPage="1"/>
  </sheetPr>
  <dimension ref="A1:I51"/>
  <sheetViews>
    <sheetView showGridLines="0" view="pageBreakPreview" zoomScaleNormal="85" zoomScaleSheetLayoutView="100" workbookViewId="0">
      <selection activeCell="A3" sqref="A3:XFD3"/>
    </sheetView>
  </sheetViews>
  <sheetFormatPr defaultColWidth="9.140625" defaultRowHeight="12.75"/>
  <cols>
    <col min="1" max="1" width="21.7109375" style="61" customWidth="1"/>
    <col min="2" max="2" width="18.140625" style="61" customWidth="1"/>
    <col min="3" max="8" width="15.7109375" style="61" customWidth="1"/>
    <col min="9" max="9" width="21.7109375" style="61" customWidth="1"/>
    <col min="10" max="10" width="1" style="61" customWidth="1"/>
    <col min="11" max="16384" width="9.140625" style="61"/>
  </cols>
  <sheetData>
    <row r="1" spans="1:9" ht="15" customHeight="1">
      <c r="A1" s="435" t="s">
        <v>119</v>
      </c>
      <c r="B1" s="435"/>
      <c r="C1" s="435"/>
      <c r="D1" s="435"/>
      <c r="E1" s="435"/>
      <c r="F1" s="435"/>
      <c r="G1" s="435"/>
      <c r="H1" s="435"/>
      <c r="I1" s="435"/>
    </row>
    <row r="2" spans="1:9" ht="15" customHeight="1">
      <c r="A2" s="62" t="s">
        <v>1</v>
      </c>
      <c r="B2" s="63" t="str">
        <f>Project_Name</f>
        <v>Right-Sizing Route 37: Improving Community Connectivity</v>
      </c>
      <c r="C2" s="63"/>
    </row>
    <row r="3" spans="1:9" ht="15" hidden="1" customHeight="1">
      <c r="A3" s="62" t="s">
        <v>2</v>
      </c>
      <c r="B3" s="63"/>
      <c r="C3" s="63"/>
    </row>
    <row r="4" spans="1:9" ht="15" customHeight="1">
      <c r="A4" s="62" t="s">
        <v>3</v>
      </c>
      <c r="B4" s="72">
        <f>Date</f>
        <v>44985</v>
      </c>
      <c r="C4" s="72"/>
    </row>
    <row r="5" spans="1:9" ht="30" customHeight="1"/>
    <row r="6" spans="1:9" ht="13.5" thickBot="1"/>
    <row r="7" spans="1:9">
      <c r="A7" s="436" t="s">
        <v>678</v>
      </c>
      <c r="B7" s="437"/>
      <c r="C7" s="437"/>
      <c r="D7" s="437"/>
      <c r="E7" s="437"/>
      <c r="F7" s="437"/>
      <c r="G7" s="437"/>
      <c r="H7" s="437"/>
      <c r="I7" s="438"/>
    </row>
    <row r="8" spans="1:9">
      <c r="A8" s="439"/>
      <c r="B8" s="440"/>
      <c r="C8" s="440"/>
      <c r="D8" s="440"/>
      <c r="E8" s="440"/>
      <c r="F8" s="440"/>
      <c r="G8" s="440"/>
      <c r="H8" s="440"/>
      <c r="I8" s="441"/>
    </row>
    <row r="9" spans="1:9" ht="65.25" customHeight="1">
      <c r="A9" s="439"/>
      <c r="B9" s="440"/>
      <c r="C9" s="440"/>
      <c r="D9" s="440"/>
      <c r="E9" s="440"/>
      <c r="F9" s="440"/>
      <c r="G9" s="440"/>
      <c r="H9" s="440"/>
      <c r="I9" s="441"/>
    </row>
    <row r="10" spans="1:9">
      <c r="A10" s="439"/>
      <c r="B10" s="440"/>
      <c r="C10" s="440"/>
      <c r="D10" s="440"/>
      <c r="E10" s="440"/>
      <c r="F10" s="440"/>
      <c r="G10" s="440"/>
      <c r="H10" s="440"/>
      <c r="I10" s="441"/>
    </row>
    <row r="11" spans="1:9" ht="65.25" customHeight="1" thickBot="1">
      <c r="A11" s="442"/>
      <c r="B11" s="443"/>
      <c r="C11" s="443"/>
      <c r="D11" s="443"/>
      <c r="E11" s="443"/>
      <c r="F11" s="443"/>
      <c r="G11" s="443"/>
      <c r="H11" s="443"/>
      <c r="I11" s="444"/>
    </row>
    <row r="12" spans="1:9">
      <c r="B12" s="81"/>
      <c r="C12" s="81"/>
      <c r="D12" s="81"/>
      <c r="E12" s="81"/>
      <c r="F12" s="81"/>
      <c r="G12" s="81"/>
      <c r="H12" s="81"/>
      <c r="I12" s="81"/>
    </row>
    <row r="13" spans="1:9">
      <c r="B13" s="81"/>
      <c r="C13" s="81"/>
      <c r="D13" s="81"/>
      <c r="E13" s="81"/>
      <c r="F13" s="81"/>
      <c r="G13" s="81"/>
      <c r="H13" s="81"/>
      <c r="I13" s="81"/>
    </row>
    <row r="14" spans="1:9">
      <c r="B14" s="71" t="s">
        <v>120</v>
      </c>
      <c r="C14" s="81"/>
      <c r="D14" s="81"/>
      <c r="E14" s="81"/>
      <c r="F14" s="81"/>
      <c r="G14" s="81"/>
      <c r="H14" s="81"/>
      <c r="I14" s="81"/>
    </row>
    <row r="15" spans="1:9">
      <c r="B15" s="81"/>
      <c r="C15" s="81"/>
      <c r="D15" s="81"/>
      <c r="E15" s="81"/>
      <c r="F15" s="81"/>
      <c r="G15" s="81"/>
      <c r="H15" s="81"/>
      <c r="I15" s="81"/>
    </row>
    <row r="16" spans="1:9" s="77" customFormat="1" ht="15.75">
      <c r="B16" s="123" t="s">
        <v>19</v>
      </c>
      <c r="C16" s="77" t="s">
        <v>121</v>
      </c>
      <c r="D16" s="77" t="s">
        <v>122</v>
      </c>
      <c r="E16" s="77" t="s">
        <v>123</v>
      </c>
      <c r="F16" s="77" t="s">
        <v>124</v>
      </c>
      <c r="G16" s="77" t="s">
        <v>125</v>
      </c>
      <c r="H16" s="77" t="s">
        <v>126</v>
      </c>
      <c r="I16" s="77" t="s">
        <v>26</v>
      </c>
    </row>
    <row r="17" spans="2:9">
      <c r="B17" s="123">
        <f>Closeout</f>
        <v>2028</v>
      </c>
      <c r="C17" s="178" cm="1">
        <f t="array" ref="C17">IFERROR(INDEX(Table2B.3_AQ_Dif[[#Headers],[#Data],[Year]:[VOC]],MATCH(Table2.1_EmRed[[#This Row],[Year]:[Year]],Table2B.3_AQ_Dif[[#Headers],[#Data],[Year]:[Year]],0),MATCH(Table2.1_EmRed[[#Headers],[NOX]],Table2B.3_AQ_Dif[[#Headers],[Year]:[VOC]],0)),"")</f>
        <v>0.18000000000000016</v>
      </c>
      <c r="D17" s="178" cm="1">
        <f t="array" ref="D17">IFERROR(INDEX(Table2B.3_AQ_Dif[[#Headers],[#Data],[Year]:[VOC]],MATCH(Table2.1_EmRed[[#This Row],[Year]:[Year]],Table2B.3_AQ_Dif[[#Headers],[#Data],[Year]:[Year]],0),MATCH(Table2.1_EmRed[[#Headers],[SOx]],Table2B.3_AQ_Dif[[#Headers],[Year]:[VOC]],0)),"")</f>
        <v>3.0000000000000027E-3</v>
      </c>
      <c r="E17" s="178" cm="1">
        <f t="array" ref="E17">IFERROR(INDEX(Table2B.3_AQ_Dif[[#Headers],[#Data],[Year]:[VOC]],MATCH(Table2.1_EmRed[[#This Row],[Year]:[Year]],Table2B.3_AQ_Dif[[#Headers],[#Data],[Year]:[Year]],0),MATCH(Table2.1_EmRed[[#Headers],[PM2.5]],Table2B.3_AQ_Dif[[#Headers],[Year]:[VOC]],0)),"")</f>
        <v>0</v>
      </c>
      <c r="F17" s="178" cm="1">
        <f t="array" ref="F17">IFERROR(INDEX(Table2B.3_AQ_Dif[[#Headers],[#Data],[Year]:[VOC]],MATCH(Table2.1_EmRed[[#This Row],[Year]:[Year]],Table2B.3_AQ_Dif[[#Headers],[#Data],[Year]:[Year]],0),MATCH(Table2.1_EmRed[[#Headers],[CO2]],Table2B.3_AQ_Dif[[#Headers],[Year]:[VOC]],0)),"")</f>
        <v>224</v>
      </c>
      <c r="G17" s="178" cm="1">
        <f t="array" ref="G17">IFERROR(INDEX(Table2B.3_AQ_Dif[[#Headers],[#Data],[Year]:[VOC]],MATCH(Table2.1_EmRed[[#This Row],[Year]:[Year]],Table2B.3_AQ_Dif[[#Headers],[#Data],[Year]:[Year]],0),MATCH(Table2.1_EmRed[[#Headers],[PM10]],Table2B.3_AQ_Dif[[#Headers],[Year]:[VOC]],0)),"")</f>
        <v>-0.10999999999999988</v>
      </c>
      <c r="H17" s="178" cm="1">
        <f t="array" ref="H17">IFERROR(INDEX(Table2B.3_AQ_Dif[[#Headers],[#Data],[Year]:[VOC]],MATCH(Table2.1_EmRed[[#This Row],[Year]:[Year]],Table2B.3_AQ_Dif[[#Headers],[#Data],[Year]:[Year]],0),MATCH(Table2.1_EmRed[[#Headers],[VOC]],Table2B.3_AQ_Dif[[#Headers],[Year]:[VOC]],0)),"")</f>
        <v>0.12000000000000011</v>
      </c>
      <c r="I17" s="178">
        <f>SUM(Table2.1_EmRed[[#This Row],[NOX]:[VOC]])</f>
        <v>224.19299999999998</v>
      </c>
    </row>
    <row r="18" spans="2:9">
      <c r="B18" s="123">
        <f>B17+1</f>
        <v>2029</v>
      </c>
      <c r="C18" s="178" cm="1">
        <f t="array" ref="C18">IFERROR(INDEX(Table2B.3_AQ_Dif[[#Headers],[#Data],[Year]:[VOC]],MATCH(Table2.1_EmRed[[#This Row],[Year]:[Year]],Table2B.3_AQ_Dif[[#Headers],[#Data],[Year]:[Year]],0),MATCH(Table2.1_EmRed[[#Headers],[NOX]],Table2B.3_AQ_Dif[[#Headers],[Year]:[VOC]],0)),"")</f>
        <v>0.17933333333333312</v>
      </c>
      <c r="D18" s="178" cm="1">
        <f t="array" ref="D18">IFERROR(INDEX(Table2B.3_AQ_Dif[[#Headers],[#Data],[Year]:[VOC]],MATCH(Table2.1_EmRed[[#This Row],[Year]:[Year]],Table2B.3_AQ_Dif[[#Headers],[#Data],[Year]:[Year]],0),MATCH(Table2.1_EmRed[[#Headers],[SOx]],Table2B.3_AQ_Dif[[#Headers],[Year]:[VOC]],0)),"")</f>
        <v>3.1666666666666649E-3</v>
      </c>
      <c r="E18" s="178" cm="1">
        <f t="array" ref="E18">IFERROR(INDEX(Table2B.3_AQ_Dif[[#Headers],[#Data],[Year]:[VOC]],MATCH(Table2.1_EmRed[[#This Row],[Year]:[Year]],Table2B.3_AQ_Dif[[#Headers],[#Data],[Year]:[Year]],0),MATCH(Table2.1_EmRed[[#Headers],[PM2.5]],Table2B.3_AQ_Dif[[#Headers],[Year]:[VOC]],0)),"")</f>
        <v>3.3333333333329662E-4</v>
      </c>
      <c r="F18" s="178" cm="1">
        <f t="array" ref="F18">IFERROR(INDEX(Table2B.3_AQ_Dif[[#Headers],[#Data],[Year]:[VOC]],MATCH(Table2.1_EmRed[[#This Row],[Year]:[Year]],Table2B.3_AQ_Dif[[#Headers],[#Data],[Year]:[Year]],0),MATCH(Table2.1_EmRed[[#Headers],[CO2]],Table2B.3_AQ_Dif[[#Headers],[Year]:[VOC]],0)),"")</f>
        <v>233.03333333333285</v>
      </c>
      <c r="G18" s="178" cm="1">
        <f t="array" ref="G18">IFERROR(INDEX(Table2B.3_AQ_Dif[[#Headers],[#Data],[Year]:[VOC]],MATCH(Table2.1_EmRed[[#This Row],[Year]:[Year]],Table2B.3_AQ_Dif[[#Headers],[#Data],[Year]:[Year]],0),MATCH(Table2.1_EmRed[[#Headers],[PM10]],Table2B.3_AQ_Dif[[#Headers],[Year]:[VOC]],0)),"")</f>
        <v>-5.8999999999999719E-2</v>
      </c>
      <c r="H18" s="178" cm="1">
        <f t="array" ref="H18">IFERROR(INDEX(Table2B.3_AQ_Dif[[#Headers],[#Data],[Year]:[VOC]],MATCH(Table2.1_EmRed[[#This Row],[Year]:[Year]],Table2B.3_AQ_Dif[[#Headers],[#Data],[Year]:[Year]],0),MATCH(Table2.1_EmRed[[#Headers],[VOC]],Table2B.3_AQ_Dif[[#Headers],[Year]:[VOC]],0)),"")</f>
        <v>0.18300000000000027</v>
      </c>
      <c r="I18" s="178">
        <f>SUM(Table2.1_EmRed[[#This Row],[NOX]:[VOC]])</f>
        <v>233.34016666666616</v>
      </c>
    </row>
    <row r="19" spans="2:9">
      <c r="B19" s="123">
        <f t="shared" ref="B19:B21" si="0">B18+1</f>
        <v>2030</v>
      </c>
      <c r="C19" s="178" cm="1">
        <f t="array" ref="C19">IFERROR(INDEX(Table2B.3_AQ_Dif[[#Headers],[#Data],[Year]:[VOC]],MATCH(Table2.1_EmRed[[#This Row],[Year]:[Year]],Table2B.3_AQ_Dif[[#Headers],[#Data],[Year]:[Year]],0),MATCH(Table2.1_EmRed[[#Headers],[NOX]],Table2B.3_AQ_Dif[[#Headers],[Year]:[VOC]],0)),"")</f>
        <v>0.17866666666666609</v>
      </c>
      <c r="D19" s="178" cm="1">
        <f t="array" ref="D19">IFERROR(INDEX(Table2B.3_AQ_Dif[[#Headers],[#Data],[Year]:[VOC]],MATCH(Table2.1_EmRed[[#This Row],[Year]:[Year]],Table2B.3_AQ_Dif[[#Headers],[#Data],[Year]:[Year]],0),MATCH(Table2.1_EmRed[[#Headers],[SOx]],Table2B.3_AQ_Dif[[#Headers],[Year]:[VOC]],0)),"")</f>
        <v>3.333333333333327E-3</v>
      </c>
      <c r="E19" s="178" cm="1">
        <f t="array" ref="E19">IFERROR(INDEX(Table2B.3_AQ_Dif[[#Headers],[#Data],[Year]:[VOC]],MATCH(Table2.1_EmRed[[#This Row],[Year]:[Year]],Table2B.3_AQ_Dif[[#Headers],[#Data],[Year]:[Year]],0),MATCH(Table2.1_EmRed[[#Headers],[PM2.5]],Table2B.3_AQ_Dif[[#Headers],[Year]:[VOC]],0)),"")</f>
        <v>6.6666666666659324E-4</v>
      </c>
      <c r="F19" s="178" cm="1">
        <f t="array" ref="F19">IFERROR(INDEX(Table2B.3_AQ_Dif[[#Headers],[#Data],[Year]:[VOC]],MATCH(Table2.1_EmRed[[#This Row],[Year]:[Year]],Table2B.3_AQ_Dif[[#Headers],[#Data],[Year]:[Year]],0),MATCH(Table2.1_EmRed[[#Headers],[CO2]],Table2B.3_AQ_Dif[[#Headers],[Year]:[VOC]],0)),"")</f>
        <v>242.0666666666657</v>
      </c>
      <c r="G19" s="178" cm="1">
        <f t="array" ref="G19">IFERROR(INDEX(Table2B.3_AQ_Dif[[#Headers],[#Data],[Year]:[VOC]],MATCH(Table2.1_EmRed[[#This Row],[Year]:[Year]],Table2B.3_AQ_Dif[[#Headers],[#Data],[Year]:[Year]],0),MATCH(Table2.1_EmRed[[#Headers],[PM10]],Table2B.3_AQ_Dif[[#Headers],[Year]:[VOC]],0)),"")</f>
        <v>-7.999999999999563E-3</v>
      </c>
      <c r="H19" s="178" cm="1">
        <f t="array" ref="H19">IFERROR(INDEX(Table2B.3_AQ_Dif[[#Headers],[#Data],[Year]:[VOC]],MATCH(Table2.1_EmRed[[#This Row],[Year]:[Year]],Table2B.3_AQ_Dif[[#Headers],[#Data],[Year]:[Year]],0),MATCH(Table2.1_EmRed[[#Headers],[VOC]],Table2B.3_AQ_Dif[[#Headers],[Year]:[VOC]],0)),"")</f>
        <v>0.24600000000000044</v>
      </c>
      <c r="I19" s="178">
        <f>SUM(Table2.1_EmRed[[#This Row],[NOX]:[VOC]])</f>
        <v>242.48733333333237</v>
      </c>
    </row>
    <row r="20" spans="2:9">
      <c r="B20" s="123">
        <f t="shared" si="0"/>
        <v>2031</v>
      </c>
      <c r="C20" s="178" cm="1">
        <f t="array" ref="C20">IFERROR(INDEX(Table2B.3_AQ_Dif[[#Headers],[#Data],[Year]:[VOC]],MATCH(Table2.1_EmRed[[#This Row],[Year]:[Year]],Table2B.3_AQ_Dif[[#Headers],[#Data],[Year]:[Year]],0),MATCH(Table2.1_EmRed[[#Headers],[NOX]],Table2B.3_AQ_Dif[[#Headers],[Year]:[VOC]],0)),"")</f>
        <v>0.17799999999999905</v>
      </c>
      <c r="D20" s="178" cm="1">
        <f t="array" ref="D20">IFERROR(INDEX(Table2B.3_AQ_Dif[[#Headers],[#Data],[Year]:[VOC]],MATCH(Table2.1_EmRed[[#This Row],[Year]:[Year]],Table2B.3_AQ_Dif[[#Headers],[#Data],[Year]:[Year]],0),MATCH(Table2.1_EmRed[[#Headers],[SOx]],Table2B.3_AQ_Dif[[#Headers],[Year]:[VOC]],0)),"")</f>
        <v>3.4999999999999892E-3</v>
      </c>
      <c r="E20" s="178" cm="1">
        <f t="array" ref="E20">IFERROR(INDEX(Table2B.3_AQ_Dif[[#Headers],[#Data],[Year]:[VOC]],MATCH(Table2.1_EmRed[[#This Row],[Year]:[Year]],Table2B.3_AQ_Dif[[#Headers],[#Data],[Year]:[Year]],0),MATCH(Table2.1_EmRed[[#Headers],[PM2.5]],Table2B.3_AQ_Dif[[#Headers],[Year]:[VOC]],0)),"")</f>
        <v>9.9999999999988987E-4</v>
      </c>
      <c r="F20" s="178" cm="1">
        <f t="array" ref="F20">IFERROR(INDEX(Table2B.3_AQ_Dif[[#Headers],[#Data],[Year]:[VOC]],MATCH(Table2.1_EmRed[[#This Row],[Year]:[Year]],Table2B.3_AQ_Dif[[#Headers],[#Data],[Year]:[Year]],0),MATCH(Table2.1_EmRed[[#Headers],[CO2]],Table2B.3_AQ_Dif[[#Headers],[Year]:[VOC]],0)),"")</f>
        <v>251.09999999999854</v>
      </c>
      <c r="G20" s="178" cm="1">
        <f t="array" ref="G20">IFERROR(INDEX(Table2B.3_AQ_Dif[[#Headers],[#Data],[Year]:[VOC]],MATCH(Table2.1_EmRed[[#This Row],[Year]:[Year]],Table2B.3_AQ_Dif[[#Headers],[#Data],[Year]:[Year]],0),MATCH(Table2.1_EmRed[[#Headers],[PM10]],Table2B.3_AQ_Dif[[#Headers],[Year]:[VOC]],0)),"")</f>
        <v>4.3000000000000593E-2</v>
      </c>
      <c r="H20" s="178" cm="1">
        <f t="array" ref="H20">IFERROR(INDEX(Table2B.3_AQ_Dif[[#Headers],[#Data],[Year]:[VOC]],MATCH(Table2.1_EmRed[[#This Row],[Year]:[Year]],Table2B.3_AQ_Dif[[#Headers],[#Data],[Year]:[Year]],0),MATCH(Table2.1_EmRed[[#Headers],[VOC]],Table2B.3_AQ_Dif[[#Headers],[Year]:[VOC]],0)),"")</f>
        <v>0.30900000000000061</v>
      </c>
      <c r="I20" s="178">
        <f>SUM(Table2.1_EmRed[[#This Row],[NOX]:[VOC]])</f>
        <v>251.63449999999855</v>
      </c>
    </row>
    <row r="21" spans="2:9">
      <c r="B21" s="123">
        <f t="shared" si="0"/>
        <v>2032</v>
      </c>
      <c r="C21" s="178" cm="1">
        <f t="array" ref="C21">IFERROR(INDEX(Table2B.3_AQ_Dif[[#Headers],[#Data],[Year]:[VOC]],MATCH(Table2.1_EmRed[[#This Row],[Year]:[Year]],Table2B.3_AQ_Dif[[#Headers],[#Data],[Year]:[Year]],0),MATCH(Table2.1_EmRed[[#Headers],[NOX]],Table2B.3_AQ_Dif[[#Headers],[Year]:[VOC]],0)),"")</f>
        <v>0.17733333333333201</v>
      </c>
      <c r="D21" s="178" cm="1">
        <f t="array" ref="D21">IFERROR(INDEX(Table2B.3_AQ_Dif[[#Headers],[#Data],[Year]:[VOC]],MATCH(Table2.1_EmRed[[#This Row],[Year]:[Year]],Table2B.3_AQ_Dif[[#Headers],[#Data],[Year]:[Year]],0),MATCH(Table2.1_EmRed[[#Headers],[SOx]],Table2B.3_AQ_Dif[[#Headers],[Year]:[VOC]],0)),"")</f>
        <v>3.6666666666666514E-3</v>
      </c>
      <c r="E21" s="178" cm="1">
        <f t="array" ref="E21">IFERROR(INDEX(Table2B.3_AQ_Dif[[#Headers],[#Data],[Year]:[VOC]],MATCH(Table2.1_EmRed[[#This Row],[Year]:[Year]],Table2B.3_AQ_Dif[[#Headers],[#Data],[Year]:[Year]],0),MATCH(Table2.1_EmRed[[#Headers],[PM2.5]],Table2B.3_AQ_Dif[[#Headers],[Year]:[VOC]],0)),"")</f>
        <v>1.3333333333331865E-3</v>
      </c>
      <c r="F21" s="178" cm="1">
        <f t="array" ref="F21">IFERROR(INDEX(Table2B.3_AQ_Dif[[#Headers],[#Data],[Year]:[VOC]],MATCH(Table2.1_EmRed[[#This Row],[Year]:[Year]],Table2B.3_AQ_Dif[[#Headers],[#Data],[Year]:[Year]],0),MATCH(Table2.1_EmRed[[#Headers],[CO2]],Table2B.3_AQ_Dif[[#Headers],[Year]:[VOC]],0)),"")</f>
        <v>260.13333333333139</v>
      </c>
      <c r="G21" s="178" cm="1">
        <f t="array" ref="G21">IFERROR(INDEX(Table2B.3_AQ_Dif[[#Headers],[#Data],[Year]:[VOC]],MATCH(Table2.1_EmRed[[#This Row],[Year]:[Year]],Table2B.3_AQ_Dif[[#Headers],[#Data],[Year]:[Year]],0),MATCH(Table2.1_EmRed[[#Headers],[PM10]],Table2B.3_AQ_Dif[[#Headers],[Year]:[VOC]],0)),"")</f>
        <v>9.400000000000075E-2</v>
      </c>
      <c r="H21" s="178" cm="1">
        <f t="array" ref="H21">IFERROR(INDEX(Table2B.3_AQ_Dif[[#Headers],[#Data],[Year]:[VOC]],MATCH(Table2.1_EmRed[[#This Row],[Year]:[Year]],Table2B.3_AQ_Dif[[#Headers],[#Data],[Year]:[Year]],0),MATCH(Table2.1_EmRed[[#Headers],[VOC]],Table2B.3_AQ_Dif[[#Headers],[Year]:[VOC]],0)),"")</f>
        <v>0.37200000000000077</v>
      </c>
      <c r="I21" s="178">
        <f>SUM(Table2.1_EmRed[[#This Row],[NOX]:[VOC]])</f>
        <v>260.78166666666471</v>
      </c>
    </row>
    <row r="22" spans="2:9">
      <c r="B22" s="129"/>
      <c r="C22" s="179" t="str" cm="1">
        <f t="array" ref="C22">IFERROR(INDEX(Table2B.3_AQ_Dif[[#Headers],[#Data],[Year]:[VOC]],MATCH(Table2.1_EmRed[[#This Row],[Year]:[Year]],Table2B.3_AQ_Dif[[#Headers],[#Data],[Year]:[Year]],0),MATCH(Table2.1_EmRed[[#Headers],[NOX]],Table2B.3_AQ_Dif[[#Headers],[Year]:[VOC]],0)),"")</f>
        <v/>
      </c>
      <c r="D22" s="179" t="str" cm="1">
        <f t="array" ref="D22">IFERROR(INDEX(Table2B.3_AQ_Dif[[#Headers],[#Data],[Year]:[VOC]],MATCH(Table2.1_EmRed[[#This Row],[Year]:[Year]],Table2B.3_AQ_Dif[[#Headers],[#Data],[Year]:[Year]],0),MATCH(Table2.1_EmRed[[#Headers],[SOx]],Table2B.3_AQ_Dif[[#Headers],[Year]:[VOC]],0)),"")</f>
        <v/>
      </c>
      <c r="E22" s="179" t="str" cm="1">
        <f t="array" ref="E22">IFERROR(INDEX(Table2B.3_AQ_Dif[[#Headers],[#Data],[Year]:[VOC]],MATCH(Table2.1_EmRed[[#This Row],[Year]:[Year]],Table2B.3_AQ_Dif[[#Headers],[#Data],[Year]:[Year]],0),MATCH(Table2.1_EmRed[[#Headers],[PM2.5]],Table2B.3_AQ_Dif[[#Headers],[Year]:[VOC]],0)),"")</f>
        <v/>
      </c>
      <c r="F22" s="179" t="str" cm="1">
        <f t="array" ref="F22">IFERROR(INDEX(Table2B.3_AQ_Dif[[#Headers],[#Data],[Year]:[VOC]],MATCH(Table2.1_EmRed[[#This Row],[Year]:[Year]],Table2B.3_AQ_Dif[[#Headers],[#Data],[Year]:[Year]],0),MATCH(Table2.1_EmRed[[#Headers],[CO2]],Table2B.3_AQ_Dif[[#Headers],[Year]:[VOC]],0)),"")</f>
        <v/>
      </c>
      <c r="G22" s="179" t="str" cm="1">
        <f t="array" ref="G22">IFERROR(INDEX(Table2B.3_AQ_Dif[[#Headers],[#Data],[Year]:[VOC]],MATCH(Table2.1_EmRed[[#This Row],[Year]:[Year]],Table2B.3_AQ_Dif[[#Headers],[#Data],[Year]:[Year]],0),MATCH(Table2.1_EmRed[[#Headers],[PM10]],Table2B.3_AQ_Dif[[#Headers],[Year]:[VOC]],0)),"")</f>
        <v/>
      </c>
      <c r="H22" s="179" t="str" cm="1">
        <f t="array" ref="H22">IFERROR(INDEX(Table2B.3_AQ_Dif[[#Headers],[#Data],[Year]:[VOC]],MATCH(Table2.1_EmRed[[#This Row],[Year]:[Year]],Table2B.3_AQ_Dif[[#Headers],[#Data],[Year]:[Year]],0),MATCH(Table2.1_EmRed[[#Headers],[VOC]],Table2B.3_AQ_Dif[[#Headers],[Year]:[VOC]],0)),"")</f>
        <v/>
      </c>
      <c r="I22" s="180">
        <f>SUM(Table2.1_EmRed[[#This Row],[NOX]:[VOC]])</f>
        <v>0</v>
      </c>
    </row>
    <row r="23" spans="2:9">
      <c r="B23" s="123">
        <f>Last_Year</f>
        <v>2058</v>
      </c>
      <c r="C23" s="178" cm="1">
        <f t="array" ref="C23">IFERROR(INDEX(Table2B.3_AQ_Dif[[#Headers],[#Data],[Year]:[VOC]],MATCH(Table2.1_EmRed[[#This Row],[Year]:[Year]],Table2B.3_AQ_Dif[[#Headers],[#Data],[Year]:[Year]],0),MATCH(Table2.1_EmRed[[#Headers],[NOX]],Table2B.3_AQ_Dif[[#Headers],[Year]:[VOC]],0)),"")</f>
        <v>0.16000000000000014</v>
      </c>
      <c r="D23" s="178" cm="1">
        <f t="array" ref="D23">IFERROR(INDEX(Table2B.3_AQ_Dif[[#Headers],[#Data],[Year]:[VOC]],MATCH(Table2.1_EmRed[[#This Row],[Year]:[Year]],Table2B.3_AQ_Dif[[#Headers],[#Data],[Year]:[Year]],0),MATCH(Table2.1_EmRed[[#Headers],[SOx]],Table2B.3_AQ_Dif[[#Headers],[Year]:[VOC]],0)),"")</f>
        <v>8.0000000000000071E-3</v>
      </c>
      <c r="E23" s="178" cm="1">
        <f t="array" ref="E23">IFERROR(INDEX(Table2B.3_AQ_Dif[[#Headers],[#Data],[Year]:[VOC]],MATCH(Table2.1_EmRed[[#This Row],[Year]:[Year]],Table2B.3_AQ_Dif[[#Headers],[#Data],[Year]:[Year]],0),MATCH(Table2.1_EmRed[[#Headers],[PM2.5]],Table2B.3_AQ_Dif[[#Headers],[Year]:[VOC]],0)),"")</f>
        <v>9.9999999999999811E-3</v>
      </c>
      <c r="F23" s="178" cm="1">
        <f t="array" ref="F23">IFERROR(INDEX(Table2B.3_AQ_Dif[[#Headers],[#Data],[Year]:[VOC]],MATCH(Table2.1_EmRed[[#This Row],[Year]:[Year]],Table2B.3_AQ_Dif[[#Headers],[#Data],[Year]:[Year]],0),MATCH(Table2.1_EmRed[[#Headers],[CO2]],Table2B.3_AQ_Dif[[#Headers],[Year]:[VOC]],0)),"")</f>
        <v>495</v>
      </c>
      <c r="G23" s="178" cm="1">
        <f t="array" ref="G23">IFERROR(INDEX(Table2B.3_AQ_Dif[[#Headers],[#Data],[Year]:[VOC]],MATCH(Table2.1_EmRed[[#This Row],[Year]:[Year]],Table2B.3_AQ_Dif[[#Headers],[#Data],[Year]:[Year]],0),MATCH(Table2.1_EmRed[[#Headers],[PM10]],Table2B.3_AQ_Dif[[#Headers],[Year]:[VOC]],0)),"")</f>
        <v>1.42</v>
      </c>
      <c r="H23" s="178" cm="1">
        <f t="array" ref="H23">IFERROR(INDEX(Table2B.3_AQ_Dif[[#Headers],[#Data],[Year]:[VOC]],MATCH(Table2.1_EmRed[[#This Row],[Year]:[Year]],Table2B.3_AQ_Dif[[#Headers],[#Data],[Year]:[Year]],0),MATCH(Table2.1_EmRed[[#Headers],[VOC]],Table2B.3_AQ_Dif[[#Headers],[Year]:[VOC]],0)),"")</f>
        <v>2.0100000000000002</v>
      </c>
      <c r="I23" s="178">
        <f>SUM(Table2.1_EmRed[[#This Row],[NOX]:[VOC]])</f>
        <v>498.608</v>
      </c>
    </row>
    <row r="24" spans="2:9">
      <c r="B24" s="123" t="s">
        <v>127</v>
      </c>
      <c r="C24" s="154">
        <f>AVERAGE('2B. Emissions Backup'!C104:C134)</f>
        <v>0.16999999999999491</v>
      </c>
      <c r="D24" s="154">
        <f>AVERAGE('2B. Emissions Backup'!D104:D134)</f>
        <v>5.499999999999939E-3</v>
      </c>
      <c r="E24" s="154">
        <f>AVERAGE('2B. Emissions Backup'!E104:E134)</f>
        <v>4.9999999999995682E-3</v>
      </c>
      <c r="F24" s="154">
        <f>AVERAGE('2B. Emissions Backup'!F104:F134)</f>
        <v>359.49999999999318</v>
      </c>
      <c r="G24" s="154">
        <f>AVERAGE('2B. Emissions Backup'!G104:G134)</f>
        <v>0.65500000000000158</v>
      </c>
      <c r="H24" s="154">
        <f>AVERAGE('2B. Emissions Backup'!H104:H134)</f>
        <v>1.0650000000000006</v>
      </c>
      <c r="I24" s="126">
        <f>AVERAGEIFS(Table2B.3_AQ_Dif[Total],Table2B.3_AQ_Dif[Total],"&lt;&gt;0")</f>
        <v>361.40049999999314</v>
      </c>
    </row>
    <row r="25" spans="2:9">
      <c r="B25" s="81"/>
      <c r="C25" s="81"/>
      <c r="D25" s="81"/>
      <c r="E25" s="81"/>
      <c r="F25" s="81"/>
      <c r="G25" s="81"/>
      <c r="H25" s="81"/>
      <c r="I25" s="81"/>
    </row>
    <row r="26" spans="2:9">
      <c r="B26" s="71" t="s">
        <v>128</v>
      </c>
      <c r="C26" s="81"/>
      <c r="D26" s="81"/>
      <c r="E26" s="81"/>
      <c r="F26" s="81"/>
      <c r="G26" s="81"/>
      <c r="H26" s="81"/>
      <c r="I26" s="81"/>
    </row>
    <row r="27" spans="2:9">
      <c r="B27" s="81"/>
      <c r="C27" s="81"/>
      <c r="D27" s="81"/>
      <c r="E27" s="81"/>
      <c r="F27" s="81"/>
      <c r="G27" s="81"/>
      <c r="H27" s="81"/>
      <c r="I27" s="81"/>
    </row>
    <row r="28" spans="2:9" ht="15.75">
      <c r="B28" s="123" t="s">
        <v>19</v>
      </c>
      <c r="C28" s="77" t="s">
        <v>121</v>
      </c>
      <c r="D28" s="77" t="s">
        <v>122</v>
      </c>
      <c r="E28" s="77" t="s">
        <v>123</v>
      </c>
      <c r="F28" s="77" t="s">
        <v>124</v>
      </c>
      <c r="G28" s="77" t="s">
        <v>125</v>
      </c>
      <c r="H28" s="77" t="s">
        <v>126</v>
      </c>
      <c r="I28" s="77" t="s">
        <v>26</v>
      </c>
    </row>
    <row r="29" spans="2:9">
      <c r="B29" s="123">
        <f>Closeout</f>
        <v>2028</v>
      </c>
      <c r="C29" s="176" cm="1">
        <f t="array" ref="C29">IFERROR(INDEX(Table2B.4_AQ_Dollars[[#Headers],[#Data],[Year]:[VOC]],MATCH(Table2.2_EmMoney[[#This Row],[Year]:[Year]],Table2B.4_AQ_Dollars[[#Headers],[#Data],[Year]:[Year]],0),MATCH(Table2.2_EmMoney[[#Headers],[NOX]],Table2B.4_AQ_Dollars[[#Headers],[Year]:[VOC]],0)),"")</f>
        <v>0</v>
      </c>
      <c r="D29" s="176" cm="1">
        <f t="array" ref="D29">IFERROR(INDEX(Table2B.4_AQ_Dollars[[#Headers],[#Data],[Year]:[VOC]],MATCH(Table2.2_EmMoney[[#This Row],[Year]:[Year]],Table2B.4_AQ_Dollars[[#Headers],[#Data],[Year]:[Year]],0),MATCH(Table2.2_EmMoney[[#Headers],[SOx]],Table2B.4_AQ_Dollars[[#Headers],[Year]:[VOC]],0)),"")</f>
        <v>0</v>
      </c>
      <c r="E29" s="176" cm="1">
        <f t="array" ref="E29">IFERROR(INDEX(Table2B.4_AQ_Dollars[[#Headers],[#Data],[Year]:[VOC]],MATCH(Table2.2_EmMoney[[#This Row],[Year]:[Year]],Table2B.4_AQ_Dollars[[#Headers],[#Data],[Year]:[Year]],0),MATCH(Table2.2_EmMoney[[#Headers],[PM2.5]],Table2B.4_AQ_Dollars[[#Headers],[Year]:[VOC]],0)),"")</f>
        <v>0</v>
      </c>
      <c r="F29" s="176" cm="1">
        <f t="array" ref="F29">IFERROR(INDEX(Table2B.4_AQ_Dollars[[#Headers],[#Data],[Year]:[VOC]],MATCH(Table2.2_EmMoney[[#This Row],[Year]:[Year]],Table2B.4_AQ_Dollars[[#Headers],[#Data],[Year]:[Year]],0),MATCH(Table2.2_EmMoney[[#Headers],[CO2]],Table2B.4_AQ_Dollars[[#Headers],[Year]:[VOC]],0)),"")</f>
        <v>0</v>
      </c>
      <c r="G29" s="176" cm="1">
        <f t="array" ref="G29">IFERROR(INDEX(Table2B.4_AQ_Dollars[[#Headers],[#Data],[Year]:[VOC]],MATCH(Table2.2_EmMoney[[#This Row],[Year]:[Year]],Table2B.4_AQ_Dollars[[#Headers],[#Data],[Year]:[Year]],0),MATCH(Table2.2_EmMoney[[#Headers],[PM10]],Table2B.4_AQ_Dollars[[#Headers],[Year]:[VOC]],0)),"")</f>
        <v>0</v>
      </c>
      <c r="H29" s="176" cm="1">
        <f t="array" ref="H29">IFERROR(INDEX(Table2B.4_AQ_Dollars[[#Headers],[#Data],[Year]:[VOC]],MATCH(Table2.2_EmMoney[[#This Row],[Year]:[Year]],Table2B.4_AQ_Dollars[[#Headers],[#Data],[Year]:[Year]],0),MATCH(Table2.2_EmMoney[[#Headers],[VOC]],Table2B.4_AQ_Dollars[[#Headers],[Year]:[VOC]],0)),"")</f>
        <v>0</v>
      </c>
      <c r="I29" s="176">
        <f>SUM(Table2.2_EmMoney[[#This Row],[NOX]:[VOC]])</f>
        <v>0</v>
      </c>
    </row>
    <row r="30" spans="2:9">
      <c r="B30" s="123">
        <f>B29+1</f>
        <v>2029</v>
      </c>
      <c r="C30" s="176" cm="1">
        <f t="array" ref="C30">IFERROR(INDEX(Table2B.4_AQ_Dollars[[#Headers],[#Data],[Year]:[VOC]],MATCH(Table2.2_EmMoney[[#This Row],[Year]:[Year]],Table2B.4_AQ_Dollars[[#Headers],[#Data],[Year]:[Year]],0),MATCH(Table2.2_EmMoney[[#Headers],[NOX]],Table2B.4_AQ_Dollars[[#Headers],[Year]:[VOC]],0)),"")</f>
        <v>3263.8666666666627</v>
      </c>
      <c r="D30" s="176" cm="1">
        <f t="array" ref="D30">IFERROR(INDEX(Table2B.4_AQ_Dollars[[#Headers],[#Data],[Year]:[VOC]],MATCH(Table2.2_EmMoney[[#This Row],[Year]:[Year]],Table2B.4_AQ_Dollars[[#Headers],[#Data],[Year]:[Year]],0),MATCH(Table2.2_EmMoney[[#Headers],[SOx]],Table2B.4_AQ_Dollars[[#Headers],[Year]:[VOC]],0)),"")</f>
        <v>156.74999999999991</v>
      </c>
      <c r="E30" s="176" cm="1">
        <f t="array" ref="E30">IFERROR(INDEX(Table2B.4_AQ_Dollars[[#Headers],[#Data],[Year]:[VOC]],MATCH(Table2.2_EmMoney[[#This Row],[Year]:[Year]],Table2B.4_AQ_Dollars[[#Headers],[#Data],[Year]:[Year]],0),MATCH(Table2.2_EmMoney[[#Headers],[PM2.5]],Table2B.4_AQ_Dollars[[#Headers],[Year]:[VOC]],0)),"")</f>
        <v>293.13333333330104</v>
      </c>
      <c r="F30" s="176" cm="1">
        <f t="array" ref="F30">IFERROR(INDEX(Table2B.4_AQ_Dollars[[#Headers],[#Data],[Year]:[VOC]],MATCH(Table2.2_EmMoney[[#This Row],[Year]:[Year]],Table2B.4_AQ_Dollars[[#Headers],[#Data],[Year]:[Year]],0),MATCH(Table2.2_EmMoney[[#Headers],[CO2]],Table2B.4_AQ_Dollars[[#Headers],[Year]:[VOC]],0)),"")</f>
        <v>14448.066666666637</v>
      </c>
      <c r="G30" s="176" cm="1">
        <f t="array" ref="G30">IFERROR(INDEX(Table2B.4_AQ_Dollars[[#Headers],[#Data],[Year]:[VOC]],MATCH(Table2.2_EmMoney[[#This Row],[Year]:[Year]],Table2B.4_AQ_Dollars[[#Headers],[#Data],[Year]:[Year]],0),MATCH(Table2.2_EmMoney[[#Headers],[PM10]],Table2B.4_AQ_Dollars[[#Headers],[Year]:[VOC]],0)),"")</f>
        <v>0</v>
      </c>
      <c r="H30" s="176" cm="1">
        <f t="array" ref="H30">IFERROR(INDEX(Table2B.4_AQ_Dollars[[#Headers],[#Data],[Year]:[VOC]],MATCH(Table2.2_EmMoney[[#This Row],[Year]:[Year]],Table2B.4_AQ_Dollars[[#Headers],[#Data],[Year]:[Year]],0),MATCH(Table2.2_EmMoney[[#Headers],[VOC]],Table2B.4_AQ_Dollars[[#Headers],[Year]:[VOC]],0)),"")</f>
        <v>0</v>
      </c>
      <c r="I30" s="176">
        <f>SUM(Table2.2_EmMoney[[#This Row],[NOX]:[VOC]])</f>
        <v>18161.8166666666</v>
      </c>
    </row>
    <row r="31" spans="2:9">
      <c r="B31" s="123">
        <f t="shared" ref="B31:B33" si="1">B30+1</f>
        <v>2030</v>
      </c>
      <c r="C31" s="176" cm="1">
        <f t="array" ref="C31">IFERROR(INDEX(Table2B.4_AQ_Dollars[[#Headers],[#Data],[Year]:[VOC]],MATCH(Table2.2_EmMoney[[#This Row],[Year]:[Year]],Table2B.4_AQ_Dollars[[#Headers],[#Data],[Year]:[Year]],0),MATCH(Table2.2_EmMoney[[#Headers],[NOX]],Table2B.4_AQ_Dollars[[#Headers],[Year]:[VOC]],0)),"")</f>
        <v>3323.1999999999894</v>
      </c>
      <c r="D31" s="176" cm="1">
        <f t="array" ref="D31">IFERROR(INDEX(Table2B.4_AQ_Dollars[[#Headers],[#Data],[Year]:[VOC]],MATCH(Table2.2_EmMoney[[#This Row],[Year]:[Year]],Table2B.4_AQ_Dollars[[#Headers],[#Data],[Year]:[Year]],0),MATCH(Table2.2_EmMoney[[#Headers],[SOx]],Table2B.4_AQ_Dollars[[#Headers],[Year]:[VOC]],0)),"")</f>
        <v>167.99999999999969</v>
      </c>
      <c r="E31" s="176" cm="1">
        <f t="array" ref="E31">IFERROR(INDEX(Table2B.4_AQ_Dollars[[#Headers],[#Data],[Year]:[VOC]],MATCH(Table2.2_EmMoney[[#This Row],[Year]:[Year]],Table2B.4_AQ_Dollars[[#Headers],[#Data],[Year]:[Year]],0),MATCH(Table2.2_EmMoney[[#Headers],[PM2.5]],Table2B.4_AQ_Dollars[[#Headers],[Year]:[VOC]],0)),"")</f>
        <v>595.59999999993443</v>
      </c>
      <c r="F31" s="176" cm="1">
        <f t="array" ref="F31">IFERROR(INDEX(Table2B.4_AQ_Dollars[[#Headers],[#Data],[Year]:[VOC]],MATCH(Table2.2_EmMoney[[#This Row],[Year]:[Year]],Table2B.4_AQ_Dollars[[#Headers],[#Data],[Year]:[Year]],0),MATCH(Table2.2_EmMoney[[#Headers],[CO2]],Table2B.4_AQ_Dollars[[#Headers],[Year]:[VOC]],0)),"")</f>
        <v>15250.199999999939</v>
      </c>
      <c r="G31" s="176" cm="1">
        <f t="array" ref="G31">IFERROR(INDEX(Table2B.4_AQ_Dollars[[#Headers],[#Data],[Year]:[VOC]],MATCH(Table2.2_EmMoney[[#This Row],[Year]:[Year]],Table2B.4_AQ_Dollars[[#Headers],[#Data],[Year]:[Year]],0),MATCH(Table2.2_EmMoney[[#Headers],[PM10]],Table2B.4_AQ_Dollars[[#Headers],[Year]:[VOC]],0)),"")</f>
        <v>0</v>
      </c>
      <c r="H31" s="176" cm="1">
        <f t="array" ref="H31">IFERROR(INDEX(Table2B.4_AQ_Dollars[[#Headers],[#Data],[Year]:[VOC]],MATCH(Table2.2_EmMoney[[#This Row],[Year]:[Year]],Table2B.4_AQ_Dollars[[#Headers],[#Data],[Year]:[Year]],0),MATCH(Table2.2_EmMoney[[#Headers],[VOC]],Table2B.4_AQ_Dollars[[#Headers],[Year]:[VOC]],0)),"")</f>
        <v>0</v>
      </c>
      <c r="I31" s="176">
        <f>SUM(Table2.2_EmMoney[[#This Row],[NOX]:[VOC]])</f>
        <v>19336.999999999862</v>
      </c>
    </row>
    <row r="32" spans="2:9">
      <c r="B32" s="123">
        <f t="shared" si="1"/>
        <v>2031</v>
      </c>
      <c r="C32" s="176" cm="1">
        <f t="array" ref="C32">IFERROR(INDEX(Table2B.4_AQ_Dollars[[#Headers],[#Data],[Year]:[VOC]],MATCH(Table2.2_EmMoney[[#This Row],[Year]:[Year]],Table2B.4_AQ_Dollars[[#Headers],[#Data],[Year]:[Year]],0),MATCH(Table2.2_EmMoney[[#Headers],[NOX]],Table2B.4_AQ_Dollars[[#Headers],[Year]:[VOC]],0)),"")</f>
        <v>3364.1999999999821</v>
      </c>
      <c r="D32" s="176" cm="1">
        <f t="array" ref="D32">IFERROR(INDEX(Table2B.4_AQ_Dollars[[#Headers],[#Data],[Year]:[VOC]],MATCH(Table2.2_EmMoney[[#This Row],[Year]:[Year]],Table2B.4_AQ_Dollars[[#Headers],[#Data],[Year]:[Year]],0),MATCH(Table2.2_EmMoney[[#Headers],[SOx]],Table2B.4_AQ_Dollars[[#Headers],[Year]:[VOC]],0)),"")</f>
        <v>179.54999999999944</v>
      </c>
      <c r="E32" s="176" cm="1">
        <f t="array" ref="E32">IFERROR(INDEX(Table2B.4_AQ_Dollars[[#Headers],[#Data],[Year]:[VOC]],MATCH(Table2.2_EmMoney[[#This Row],[Year]:[Year]],Table2B.4_AQ_Dollars[[#Headers],[#Data],[Year]:[Year]],0),MATCH(Table2.2_EmMoney[[#Headers],[PM2.5]],Table2B.4_AQ_Dollars[[#Headers],[Year]:[VOC]],0)),"")</f>
        <v>907.59999999990009</v>
      </c>
      <c r="F32" s="176" cm="1">
        <f t="array" ref="F32">IFERROR(INDEX(Table2B.4_AQ_Dollars[[#Headers],[#Data],[Year]:[VOC]],MATCH(Table2.2_EmMoney[[#This Row],[Year]:[Year]],Table2B.4_AQ_Dollars[[#Headers],[#Data],[Year]:[Year]],0),MATCH(Table2.2_EmMoney[[#Headers],[CO2]],Table2B.4_AQ_Dollars[[#Headers],[Year]:[VOC]],0)),"")</f>
        <v>16321.499999999905</v>
      </c>
      <c r="G32" s="176" cm="1">
        <f t="array" ref="G32">IFERROR(INDEX(Table2B.4_AQ_Dollars[[#Headers],[#Data],[Year]:[VOC]],MATCH(Table2.2_EmMoney[[#This Row],[Year]:[Year]],Table2B.4_AQ_Dollars[[#Headers],[#Data],[Year]:[Year]],0),MATCH(Table2.2_EmMoney[[#Headers],[PM10]],Table2B.4_AQ_Dollars[[#Headers],[Year]:[VOC]],0)),"")</f>
        <v>0</v>
      </c>
      <c r="H32" s="176" cm="1">
        <f t="array" ref="H32">IFERROR(INDEX(Table2B.4_AQ_Dollars[[#Headers],[#Data],[Year]:[VOC]],MATCH(Table2.2_EmMoney[[#This Row],[Year]:[Year]],Table2B.4_AQ_Dollars[[#Headers],[#Data],[Year]:[Year]],0),MATCH(Table2.2_EmMoney[[#Headers],[VOC]],Table2B.4_AQ_Dollars[[#Headers],[Year]:[VOC]],0)),"")</f>
        <v>0</v>
      </c>
      <c r="I32" s="176">
        <f>SUM(Table2.2_EmMoney[[#This Row],[NOX]:[VOC]])</f>
        <v>20772.849999999788</v>
      </c>
    </row>
    <row r="33" spans="2:9">
      <c r="B33" s="123">
        <f t="shared" si="1"/>
        <v>2032</v>
      </c>
      <c r="C33" s="176" cm="1">
        <f t="array" ref="C33">IFERROR(INDEX(Table2B.4_AQ_Dollars[[#Headers],[#Data],[Year]:[VOC]],MATCH(Table2.2_EmMoney[[#This Row],[Year]:[Year]],Table2B.4_AQ_Dollars[[#Headers],[#Data],[Year]:[Year]],0),MATCH(Table2.2_EmMoney[[#Headers],[NOX]],Table2B.4_AQ_Dollars[[#Headers],[Year]:[VOC]],0)),"")</f>
        <v>3351.5999999999749</v>
      </c>
      <c r="D33" s="176" cm="1">
        <f t="array" ref="D33">IFERROR(INDEX(Table2B.4_AQ_Dollars[[#Headers],[#Data],[Year]:[VOC]],MATCH(Table2.2_EmMoney[[#This Row],[Year]:[Year]],Table2B.4_AQ_Dollars[[#Headers],[#Data],[Year]:[Year]],0),MATCH(Table2.2_EmMoney[[#Headers],[SOx]],Table2B.4_AQ_Dollars[[#Headers],[Year]:[VOC]],0)),"")</f>
        <v>188.09999999999923</v>
      </c>
      <c r="E33" s="176" cm="1">
        <f t="array" ref="E33">IFERROR(INDEX(Table2B.4_AQ_Dollars[[#Headers],[#Data],[Year]:[VOC]],MATCH(Table2.2_EmMoney[[#This Row],[Year]:[Year]],Table2B.4_AQ_Dollars[[#Headers],[#Data],[Year]:[Year]],0),MATCH(Table2.2_EmMoney[[#Headers],[PM2.5]],Table2B.4_AQ_Dollars[[#Headers],[Year]:[VOC]],0)),"")</f>
        <v>1210.1333333332</v>
      </c>
      <c r="F33" s="176" cm="1">
        <f t="array" ref="F33">IFERROR(INDEX(Table2B.4_AQ_Dollars[[#Headers],[#Data],[Year]:[VOC]],MATCH(Table2.2_EmMoney[[#This Row],[Year]:[Year]],Table2B.4_AQ_Dollars[[#Headers],[#Data],[Year]:[Year]],0),MATCH(Table2.2_EmMoney[[#Headers],[CO2]],Table2B.4_AQ_Dollars[[#Headers],[Year]:[VOC]],0)),"")</f>
        <v>17168.799999999872</v>
      </c>
      <c r="G33" s="176" cm="1">
        <f t="array" ref="G33">IFERROR(INDEX(Table2B.4_AQ_Dollars[[#Headers],[#Data],[Year]:[VOC]],MATCH(Table2.2_EmMoney[[#This Row],[Year]:[Year]],Table2B.4_AQ_Dollars[[#Headers],[#Data],[Year]:[Year]],0),MATCH(Table2.2_EmMoney[[#Headers],[PM10]],Table2B.4_AQ_Dollars[[#Headers],[Year]:[VOC]],0)),"")</f>
        <v>0</v>
      </c>
      <c r="H33" s="176" cm="1">
        <f t="array" ref="H33">IFERROR(INDEX(Table2B.4_AQ_Dollars[[#Headers],[#Data],[Year]:[VOC]],MATCH(Table2.2_EmMoney[[#This Row],[Year]:[Year]],Table2B.4_AQ_Dollars[[#Headers],[#Data],[Year]:[Year]],0),MATCH(Table2.2_EmMoney[[#Headers],[VOC]],Table2B.4_AQ_Dollars[[#Headers],[Year]:[VOC]],0)),"")</f>
        <v>0</v>
      </c>
      <c r="I33" s="176">
        <f>SUM(Table2.2_EmMoney[[#This Row],[NOX]:[VOC]])</f>
        <v>21918.633333333048</v>
      </c>
    </row>
    <row r="34" spans="2:9">
      <c r="B34" s="129"/>
      <c r="C34" s="202" t="str" cm="1">
        <f t="array" ref="C34">IFERROR(INDEX(Table2B.4_AQ_Dollars[[#Headers],[#Data],[Year]:[VOC]],MATCH(Table2.2_EmMoney[[#This Row],[Year]:[Year]],Table2B.4_AQ_Dollars[[#Headers],[#Data],[Year]:[Year]],0),MATCH(Table2.2_EmMoney[[#Headers],[NOX]],Table2B.4_AQ_Dollars[[#Headers],[Year]:[VOC]],0)),"")</f>
        <v/>
      </c>
      <c r="D34" s="202" t="str" cm="1">
        <f t="array" ref="D34">IFERROR(INDEX(Table2B.4_AQ_Dollars[[#Headers],[#Data],[Year]:[VOC]],MATCH(Table2.2_EmMoney[[#This Row],[Year]:[Year]],Table2B.4_AQ_Dollars[[#Headers],[#Data],[Year]:[Year]],0),MATCH(Table2.2_EmMoney[[#Headers],[SOx]],Table2B.4_AQ_Dollars[[#Headers],[Year]:[VOC]],0)),"")</f>
        <v/>
      </c>
      <c r="E34" s="202" t="str" cm="1">
        <f t="array" ref="E34">IFERROR(INDEX(Table2B.4_AQ_Dollars[[#Headers],[#Data],[Year]:[VOC]],MATCH(Table2.2_EmMoney[[#This Row],[Year]:[Year]],Table2B.4_AQ_Dollars[[#Headers],[#Data],[Year]:[Year]],0),MATCH(Table2.2_EmMoney[[#Headers],[PM2.5]],Table2B.4_AQ_Dollars[[#Headers],[Year]:[VOC]],0)),"")</f>
        <v/>
      </c>
      <c r="F34" s="202" t="str" cm="1">
        <f t="array" ref="F34">IFERROR(INDEX(Table2B.4_AQ_Dollars[[#Headers],[#Data],[Year]:[VOC]],MATCH(Table2.2_EmMoney[[#This Row],[Year]:[Year]],Table2B.4_AQ_Dollars[[#Headers],[#Data],[Year]:[Year]],0),MATCH(Table2.2_EmMoney[[#Headers],[CO2]],Table2B.4_AQ_Dollars[[#Headers],[Year]:[VOC]],0)),"")</f>
        <v/>
      </c>
      <c r="G34" s="202" t="str" cm="1">
        <f t="array" ref="G34">IFERROR(INDEX(Table2B.4_AQ_Dollars[[#Headers],[#Data],[Year]:[VOC]],MATCH(Table2.2_EmMoney[[#This Row],[Year]:[Year]],Table2B.4_AQ_Dollars[[#Headers],[#Data],[Year]:[Year]],0),MATCH(Table2.2_EmMoney[[#Headers],[PM10]],Table2B.4_AQ_Dollars[[#Headers],[Year]:[VOC]],0)),"")</f>
        <v/>
      </c>
      <c r="H34" s="202" t="str" cm="1">
        <f t="array" ref="H34">IFERROR(INDEX(Table2B.4_AQ_Dollars[[#Headers],[#Data],[Year]:[VOC]],MATCH(Table2.2_EmMoney[[#This Row],[Year]:[Year]],Table2B.4_AQ_Dollars[[#Headers],[#Data],[Year]:[Year]],0),MATCH(Table2.2_EmMoney[[#Headers],[VOC]],Table2B.4_AQ_Dollars[[#Headers],[Year]:[VOC]],0)),"")</f>
        <v/>
      </c>
      <c r="I34" s="130"/>
    </row>
    <row r="35" spans="2:9">
      <c r="B35" s="123">
        <f>Last_Year</f>
        <v>2058</v>
      </c>
      <c r="C35" s="176" cm="1">
        <f t="array" ref="C35">IFERROR(INDEX(Table2B.4_AQ_Dollars[[#Headers],[#Data],[Year]:[VOC]],MATCH(Table2.2_EmMoney[[#This Row],[Year]:[Year]],Table2B.4_AQ_Dollars[[#Headers],[#Data],[Year]:[Year]],0),MATCH(Table2.2_EmMoney[[#Headers],[NOX]],Table2B.4_AQ_Dollars[[#Headers],[Year]:[VOC]],0)),"")</f>
        <v>3024.0000000000027</v>
      </c>
      <c r="D35" s="176" cm="1">
        <f t="array" ref="D35">IFERROR(INDEX(Table2B.4_AQ_Dollars[[#Headers],[#Data],[Year]:[VOC]],MATCH(Table2.2_EmMoney[[#This Row],[Year]:[Year]],Table2B.4_AQ_Dollars[[#Headers],[#Data],[Year]:[Year]],0),MATCH(Table2.2_EmMoney[[#Headers],[SOx]],Table2B.4_AQ_Dollars[[#Headers],[Year]:[VOC]],0)),"")</f>
        <v>410.40000000000038</v>
      </c>
      <c r="E35" s="176" cm="1">
        <f t="array" ref="E35">IFERROR(INDEX(Table2B.4_AQ_Dollars[[#Headers],[#Data],[Year]:[VOC]],MATCH(Table2.2_EmMoney[[#This Row],[Year]:[Year]],Table2B.4_AQ_Dollars[[#Headers],[#Data],[Year]:[Year]],0),MATCH(Table2.2_EmMoney[[#Headers],[PM2.5]],Table2B.4_AQ_Dollars[[#Headers],[Year]:[VOC]],0)),"")</f>
        <v>9075.9999999999836</v>
      </c>
      <c r="F35" s="176" cm="1">
        <f t="array" ref="F35">IFERROR(INDEX(Table2B.4_AQ_Dollars[[#Headers],[#Data],[Year]:[VOC]],MATCH(Table2.2_EmMoney[[#This Row],[Year]:[Year]],Table2B.4_AQ_Dollars[[#Headers],[#Data],[Year]:[Year]],0),MATCH(Table2.2_EmMoney[[#Headers],[CO2]],Table2B.4_AQ_Dollars[[#Headers],[Year]:[VOC]],0)),"")</f>
        <v>44550</v>
      </c>
      <c r="G35" s="176" cm="1">
        <f t="array" ref="G35">IFERROR(INDEX(Table2B.4_AQ_Dollars[[#Headers],[#Data],[Year]:[VOC]],MATCH(Table2.2_EmMoney[[#This Row],[Year]:[Year]],Table2B.4_AQ_Dollars[[#Headers],[#Data],[Year]:[Year]],0),MATCH(Table2.2_EmMoney[[#Headers],[PM10]],Table2B.4_AQ_Dollars[[#Headers],[Year]:[VOC]],0)),"")</f>
        <v>0</v>
      </c>
      <c r="H35" s="176" cm="1">
        <f t="array" ref="H35">IFERROR(INDEX(Table2B.4_AQ_Dollars[[#Headers],[#Data],[Year]:[VOC]],MATCH(Table2.2_EmMoney[[#This Row],[Year]:[Year]],Table2B.4_AQ_Dollars[[#Headers],[#Data],[Year]:[Year]],0),MATCH(Table2.2_EmMoney[[#Headers],[VOC]],Table2B.4_AQ_Dollars[[#Headers],[Year]:[VOC]],0)),"")</f>
        <v>0</v>
      </c>
      <c r="I35" s="176">
        <f>SUM(Table2.2_EmMoney[[#This Row],[NOX]:[VOC]])</f>
        <v>57060.399999999987</v>
      </c>
    </row>
    <row r="36" spans="2:9">
      <c r="B36" s="123" t="s">
        <v>127</v>
      </c>
      <c r="C36" s="127">
        <f>AVERAGE('2B. Emissions Backup'!C146:C175)</f>
        <v>3200.7288888887902</v>
      </c>
      <c r="D36" s="127">
        <f>AVERAGE('2B. Emissions Backup'!D146:D175)</f>
        <v>286.13499999999675</v>
      </c>
      <c r="E36" s="127">
        <f>AVERAGE('2B. Emissions Backup'!E146:E175)</f>
        <v>4688.6377777773732</v>
      </c>
      <c r="F36" s="127">
        <f>AVERAGE('2B. Emissions Backup'!F146:F175)</f>
        <v>29037.437777777202</v>
      </c>
      <c r="G36" s="127">
        <f>AVERAGE('2B. Emissions Backup'!G146:G175)</f>
        <v>0</v>
      </c>
      <c r="H36" s="127">
        <f>AVERAGE('2B. Emissions Backup'!H146:H175)</f>
        <v>0</v>
      </c>
      <c r="I36" s="105">
        <f>AVERAGEIFS(Table2B.4_AQ_Dollars[Total],Table2B.4_AQ_Dollars[Total],"&lt;&gt;0")</f>
        <v>37212.939444443356</v>
      </c>
    </row>
    <row r="37" spans="2:9">
      <c r="B37" s="81"/>
      <c r="C37" s="81"/>
      <c r="D37" s="81"/>
      <c r="E37" s="81"/>
      <c r="F37" s="81"/>
      <c r="G37" s="81"/>
      <c r="H37" s="81"/>
      <c r="I37" s="81"/>
    </row>
    <row r="38" spans="2:9">
      <c r="B38" s="71" t="s">
        <v>129</v>
      </c>
      <c r="C38" s="81"/>
      <c r="D38" s="81"/>
      <c r="E38" s="81"/>
      <c r="F38" s="81"/>
      <c r="G38" s="81"/>
      <c r="H38" s="81"/>
      <c r="I38" s="81"/>
    </row>
    <row r="39" spans="2:9">
      <c r="I39" s="82"/>
    </row>
    <row r="40" spans="2:9">
      <c r="B40" s="77" t="s">
        <v>19</v>
      </c>
      <c r="C40" s="77" t="s">
        <v>130</v>
      </c>
      <c r="D40" s="77" t="s">
        <v>122</v>
      </c>
      <c r="E40" s="77" t="s">
        <v>131</v>
      </c>
      <c r="F40" s="77" t="s">
        <v>132</v>
      </c>
      <c r="G40" s="77" t="s">
        <v>133</v>
      </c>
      <c r="H40" s="77" t="s">
        <v>126</v>
      </c>
      <c r="I40" s="112" t="s">
        <v>101</v>
      </c>
    </row>
    <row r="41" spans="2:9">
      <c r="B41" s="77" t="str">
        <f>CONCATENATE(VALUE(Closeout)," to ",VALUE(Last_Year))</f>
        <v>2028 to 2058</v>
      </c>
      <c r="C41" s="265">
        <f>Table2B.4_AQ_Dollars[[#Totals],[NOX]]</f>
        <v>96021.8666666637</v>
      </c>
      <c r="D41" s="265">
        <f>Table2B.4_AQ_Dollars[[#Totals],[SOx]]</f>
        <v>8584.0499999999029</v>
      </c>
      <c r="E41" s="265">
        <f>Table2B.4_AQ_Dollars[[#Totals],[PM2.5]]</f>
        <v>140659.1333333212</v>
      </c>
      <c r="F41" s="265">
        <f>Table2B.4_AQ_Dollars[[#Totals],[CO2]]</f>
        <v>871123.13333331607</v>
      </c>
      <c r="G41" s="265">
        <f>Table2B.4_AQ_Dollars[[#Totals],[PM10]]</f>
        <v>0</v>
      </c>
      <c r="H41" s="265">
        <f>Table2B.4_AQ_Dollars[[#Totals],[VOC]]</f>
        <v>0</v>
      </c>
      <c r="I41" s="265">
        <f>Table2B.4_AQ_Dollars[[#Totals],[Total]]</f>
        <v>1116388.1833333008</v>
      </c>
    </row>
    <row r="42" spans="2:9">
      <c r="I42" s="82"/>
    </row>
    <row r="43" spans="2:9">
      <c r="I43" s="97"/>
    </row>
    <row r="44" spans="2:9">
      <c r="I44" s="97"/>
    </row>
    <row r="46" spans="2:9">
      <c r="I46" s="96"/>
    </row>
    <row r="47" spans="2:9">
      <c r="I47" s="96"/>
    </row>
    <row r="48" spans="2:9">
      <c r="I48" s="96"/>
    </row>
    <row r="49" spans="9:9">
      <c r="I49" s="96"/>
    </row>
    <row r="50" spans="9:9">
      <c r="I50" s="96"/>
    </row>
    <row r="51" spans="9:9">
      <c r="I51" s="96"/>
    </row>
  </sheetData>
  <mergeCells count="2">
    <mergeCell ref="A1:I1"/>
    <mergeCell ref="A7:I11"/>
  </mergeCells>
  <phoneticPr fontId="25" type="noConversion"/>
  <pageMargins left="0.7" right="0.7" top="0.75" bottom="0.75" header="0.3" footer="0.3"/>
  <pageSetup scale="58" orientation="portrait" r:id="rId1"/>
  <drawing r:id="rId2"/>
  <tableParts count="3">
    <tablePart r:id="rId3"/>
    <tablePart r:id="rId4"/>
    <tablePart r:id="rId5"/>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78BBF3-B8E6-4565-AD0E-165E24B1C384}">
  <sheetPr>
    <tabColor theme="0" tint="-0.249977111117893"/>
  </sheetPr>
  <dimension ref="A1:I220"/>
  <sheetViews>
    <sheetView showGridLines="0" view="pageBreakPreview" zoomScale="60" zoomScaleNormal="145" workbookViewId="0">
      <selection activeCell="A3" sqref="A3:XFD3"/>
    </sheetView>
  </sheetViews>
  <sheetFormatPr defaultColWidth="9.140625" defaultRowHeight="12.75"/>
  <cols>
    <col min="1" max="1" width="21.7109375" style="67" customWidth="1"/>
    <col min="2" max="2" width="18.42578125" style="84" customWidth="1"/>
    <col min="3" max="3" width="15.7109375" style="67" customWidth="1"/>
    <col min="4" max="4" width="15.7109375" style="138" customWidth="1"/>
    <col min="5" max="8" width="15.7109375" style="67" customWidth="1"/>
    <col min="9" max="9" width="21.7109375" style="67" customWidth="1"/>
    <col min="10" max="10" width="13.42578125" style="67" customWidth="1"/>
    <col min="11" max="11" width="14" style="67" customWidth="1"/>
    <col min="12" max="12" width="12.7109375" style="67" customWidth="1"/>
    <col min="13" max="16384" width="9.140625" style="67"/>
  </cols>
  <sheetData>
    <row r="1" spans="1:9" ht="15" customHeight="1">
      <c r="A1" s="445" t="s">
        <v>134</v>
      </c>
      <c r="B1" s="446"/>
      <c r="C1" s="446"/>
      <c r="D1" s="446"/>
      <c r="E1" s="446"/>
      <c r="F1" s="446"/>
      <c r="G1" s="446"/>
      <c r="H1" s="446"/>
      <c r="I1" s="446"/>
    </row>
    <row r="2" spans="1:9" ht="15" customHeight="1">
      <c r="A2" s="99" t="s">
        <v>1</v>
      </c>
      <c r="B2" s="71" t="str">
        <f>Project_Name</f>
        <v>Right-Sizing Route 37: Improving Community Connectivity</v>
      </c>
      <c r="C2" s="81"/>
      <c r="D2" s="81"/>
      <c r="E2" s="81"/>
      <c r="F2" s="81"/>
      <c r="G2" s="81"/>
      <c r="H2" s="81"/>
      <c r="I2" s="81"/>
    </row>
    <row r="3" spans="1:9" ht="15" hidden="1" customHeight="1">
      <c r="A3" s="99" t="s">
        <v>2</v>
      </c>
      <c r="B3" s="71"/>
      <c r="C3" s="81"/>
      <c r="D3" s="81"/>
      <c r="E3" s="81"/>
      <c r="F3" s="81"/>
      <c r="G3" s="81"/>
      <c r="H3" s="81"/>
      <c r="I3" s="81"/>
    </row>
    <row r="4" spans="1:9" ht="15" customHeight="1">
      <c r="A4" s="99" t="s">
        <v>3</v>
      </c>
      <c r="B4" s="100">
        <f>Date</f>
        <v>44985</v>
      </c>
      <c r="C4" s="81"/>
      <c r="D4" s="81"/>
      <c r="E4" s="81"/>
      <c r="F4" s="81"/>
      <c r="G4" s="81"/>
      <c r="H4" s="81"/>
      <c r="I4" s="81"/>
    </row>
    <row r="5" spans="1:9" ht="24" customHeight="1">
      <c r="A5" s="99"/>
      <c r="B5" s="101"/>
      <c r="C5" s="81"/>
      <c r="D5" s="81"/>
      <c r="E5" s="81"/>
      <c r="F5" s="81"/>
      <c r="G5" s="81"/>
      <c r="H5" s="81"/>
      <c r="I5" s="81"/>
    </row>
    <row r="6" spans="1:9">
      <c r="A6" s="99"/>
      <c r="B6" s="101"/>
      <c r="C6" s="81"/>
      <c r="D6" s="81"/>
      <c r="E6" s="81"/>
      <c r="F6" s="81"/>
      <c r="G6" s="81"/>
      <c r="H6" s="81"/>
      <c r="I6" s="81"/>
    </row>
    <row r="7" spans="1:9" ht="13.5" thickBot="1">
      <c r="A7" s="99"/>
      <c r="B7" s="101"/>
      <c r="C7" s="81"/>
      <c r="D7" s="81"/>
      <c r="E7" s="81"/>
      <c r="F7" s="81"/>
      <c r="G7" s="81"/>
      <c r="H7" s="81"/>
      <c r="I7" s="81"/>
    </row>
    <row r="8" spans="1:9" s="81" customFormat="1" ht="45" customHeight="1" thickBot="1">
      <c r="A8" s="102" t="s">
        <v>103</v>
      </c>
      <c r="B8" s="430" t="s">
        <v>135</v>
      </c>
      <c r="C8" s="431"/>
      <c r="D8" s="431"/>
      <c r="E8" s="431"/>
      <c r="F8" s="431"/>
      <c r="G8" s="431"/>
      <c r="H8" s="431"/>
      <c r="I8" s="432"/>
    </row>
    <row r="9" spans="1:9" s="81" customFormat="1" ht="131.25" customHeight="1" thickBot="1">
      <c r="A9" s="102" t="s">
        <v>105</v>
      </c>
      <c r="B9" s="430" t="s">
        <v>136</v>
      </c>
      <c r="C9" s="431"/>
      <c r="D9" s="431"/>
      <c r="E9" s="431"/>
      <c r="F9" s="431"/>
      <c r="G9" s="431"/>
      <c r="H9" s="431"/>
      <c r="I9" s="432"/>
    </row>
    <row r="10" spans="1:9" s="81" customFormat="1" ht="44.25" customHeight="1" thickBot="1">
      <c r="A10" s="102" t="s">
        <v>107</v>
      </c>
      <c r="B10" s="430" t="s">
        <v>137</v>
      </c>
      <c r="C10" s="431"/>
      <c r="D10" s="431"/>
      <c r="E10" s="431"/>
      <c r="F10" s="431"/>
      <c r="G10" s="431"/>
      <c r="H10" s="431"/>
      <c r="I10" s="432"/>
    </row>
    <row r="11" spans="1:9" s="81" customFormat="1" ht="44.25" customHeight="1" thickBot="1">
      <c r="A11" s="102" t="s">
        <v>109</v>
      </c>
      <c r="B11" s="430" t="s">
        <v>138</v>
      </c>
      <c r="C11" s="431"/>
      <c r="D11" s="431"/>
      <c r="E11" s="431"/>
      <c r="F11" s="431"/>
      <c r="G11" s="431"/>
      <c r="H11" s="431"/>
      <c r="I11" s="432"/>
    </row>
    <row r="12" spans="1:9" s="81" customFormat="1" ht="44.25" customHeight="1" thickBot="1">
      <c r="A12" s="102" t="s">
        <v>111</v>
      </c>
      <c r="B12" s="430" t="s">
        <v>139</v>
      </c>
      <c r="C12" s="431"/>
      <c r="D12" s="431"/>
      <c r="E12" s="431"/>
      <c r="F12" s="431"/>
      <c r="G12" s="431"/>
      <c r="H12" s="431"/>
      <c r="I12" s="432"/>
    </row>
    <row r="14" spans="1:9">
      <c r="B14" s="63" t="s">
        <v>140</v>
      </c>
    </row>
    <row r="16" spans="1:9">
      <c r="B16" s="134" t="s">
        <v>19</v>
      </c>
      <c r="C16" s="146" t="s">
        <v>130</v>
      </c>
      <c r="D16" s="146" t="s">
        <v>122</v>
      </c>
      <c r="E16" s="146" t="s">
        <v>131</v>
      </c>
      <c r="F16" s="146" t="s">
        <v>132</v>
      </c>
      <c r="G16" s="146" t="s">
        <v>133</v>
      </c>
      <c r="H16" s="146" t="s">
        <v>126</v>
      </c>
      <c r="I16" s="146" t="s">
        <v>26</v>
      </c>
    </row>
    <row r="17" spans="2:9">
      <c r="B17" s="135">
        <f>First_Year+'Appendix B. Project Info'!B20</f>
        <v>2023</v>
      </c>
      <c r="C17" s="205"/>
      <c r="D17" s="205"/>
      <c r="E17" s="205"/>
      <c r="F17" s="205"/>
      <c r="G17" s="205"/>
      <c r="H17" s="205"/>
      <c r="I17" s="156">
        <f>SUM(Table2B.1_AQ_NB[[#This Row],[NOX]:[VOC]])</f>
        <v>0</v>
      </c>
    </row>
    <row r="18" spans="2:9">
      <c r="B18" s="135">
        <f>First_Year+'Appendix B. Project Info'!B21</f>
        <v>2024</v>
      </c>
      <c r="C18" s="205"/>
      <c r="D18" s="205"/>
      <c r="E18" s="205"/>
      <c r="F18" s="205"/>
      <c r="G18" s="205"/>
      <c r="H18" s="205"/>
      <c r="I18" s="156">
        <f>SUM(Table2B.1_AQ_NB[[#This Row],[NOX]:[VOC]])</f>
        <v>0</v>
      </c>
    </row>
    <row r="19" spans="2:9">
      <c r="B19" s="135">
        <f>First_Year+'Appendix B. Project Info'!B22</f>
        <v>2025</v>
      </c>
      <c r="C19" s="205"/>
      <c r="D19" s="205"/>
      <c r="E19" s="205"/>
      <c r="F19" s="205"/>
      <c r="G19" s="205"/>
      <c r="H19" s="205"/>
      <c r="I19" s="156">
        <f>SUM(Table2B.1_AQ_NB[[#This Row],[NOX]:[VOC]])</f>
        <v>0</v>
      </c>
    </row>
    <row r="20" spans="2:9">
      <c r="B20" s="135">
        <f>First_Year+'Appendix B. Project Info'!B23</f>
        <v>2026</v>
      </c>
      <c r="C20" s="205"/>
      <c r="D20" s="205"/>
      <c r="E20" s="205"/>
      <c r="F20" s="205"/>
      <c r="G20" s="205"/>
      <c r="H20" s="205"/>
      <c r="I20" s="156">
        <f>SUM(Table2B.1_AQ_NB[[#This Row],[NOX]:[VOC]])</f>
        <v>0</v>
      </c>
    </row>
    <row r="21" spans="2:9">
      <c r="B21" s="135">
        <f>First_Year+'Appendix B. Project Info'!B24</f>
        <v>2027</v>
      </c>
      <c r="C21" s="205"/>
      <c r="D21" s="205"/>
      <c r="E21" s="205"/>
      <c r="F21" s="205"/>
      <c r="G21" s="205"/>
      <c r="H21" s="205"/>
      <c r="I21" s="156">
        <f>SUM(Table2B.1_AQ_NB[[#This Row],[NOX]:[VOC]])</f>
        <v>0</v>
      </c>
    </row>
    <row r="22" spans="2:9">
      <c r="B22" s="135">
        <f>First_Year+'Appendix B. Project Info'!B25</f>
        <v>2028</v>
      </c>
      <c r="C22" s="205">
        <v>4.1500000000000004</v>
      </c>
      <c r="D22" s="205">
        <v>0.10100000000000001</v>
      </c>
      <c r="E22" s="205">
        <v>0.28000000000000003</v>
      </c>
      <c r="F22" s="205">
        <v>6939</v>
      </c>
      <c r="G22" s="205">
        <v>1.27</v>
      </c>
      <c r="H22" s="205">
        <v>2.9</v>
      </c>
      <c r="I22" s="156">
        <f>SUM(Table2B.1_AQ_NB[[#This Row],[NOX]:[VOC]])</f>
        <v>6947.701</v>
      </c>
    </row>
    <row r="23" spans="2:9">
      <c r="B23" s="135">
        <f>First_Year+'Appendix B. Project Info'!B26</f>
        <v>2029</v>
      </c>
      <c r="C23" s="178">
        <f t="shared" ref="C23:H23" si="0">C22+((C$52-C$22)/30)</f>
        <v>4.0873333333333335</v>
      </c>
      <c r="D23" s="178">
        <f t="shared" si="0"/>
        <v>0.10076666666666667</v>
      </c>
      <c r="E23" s="178">
        <f t="shared" si="0"/>
        <v>0.27866666666666667</v>
      </c>
      <c r="F23" s="178">
        <f t="shared" si="0"/>
        <v>6922.833333333333</v>
      </c>
      <c r="G23" s="178">
        <f t="shared" si="0"/>
        <v>1.2773333333333334</v>
      </c>
      <c r="H23" s="178">
        <f t="shared" si="0"/>
        <v>2.8759999999999999</v>
      </c>
      <c r="I23" s="156">
        <f>SUM(Table2B.1_AQ_NB[[#This Row],[NOX]:[VOC]])</f>
        <v>6931.4534333333331</v>
      </c>
    </row>
    <row r="24" spans="2:9">
      <c r="B24" s="135">
        <f>First_Year+'Appendix B. Project Info'!B27</f>
        <v>2030</v>
      </c>
      <c r="C24" s="178">
        <f t="shared" ref="C24:C51" si="1">C23+((C$52-C$22)/30)</f>
        <v>4.0246666666666666</v>
      </c>
      <c r="D24" s="178">
        <f t="shared" ref="D24:D51" si="2">D23+((D$52-D$22)/30)</f>
        <v>0.10053333333333334</v>
      </c>
      <c r="E24" s="178">
        <f t="shared" ref="E24:E51" si="3">E23+((E$52-E$22)/30)</f>
        <v>0.27733333333333332</v>
      </c>
      <c r="F24" s="178">
        <f t="shared" ref="F24:F51" si="4">F23+((F$52-F$22)/30)</f>
        <v>6906.6666666666661</v>
      </c>
      <c r="G24" s="178">
        <f t="shared" ref="G24:G51" si="5">G23+((G$52-G$22)/30)</f>
        <v>1.2846666666666668</v>
      </c>
      <c r="H24" s="178">
        <f t="shared" ref="H24:H51" si="6">H23+((H$52-H$22)/30)</f>
        <v>2.8519999999999999</v>
      </c>
      <c r="I24" s="156">
        <f>SUM(Table2B.1_AQ_NB[[#This Row],[NOX]:[VOC]])</f>
        <v>6915.2058666666653</v>
      </c>
    </row>
    <row r="25" spans="2:9">
      <c r="B25" s="135">
        <f>First_Year+'Appendix B. Project Info'!B28</f>
        <v>2031</v>
      </c>
      <c r="C25" s="178">
        <f t="shared" si="1"/>
        <v>3.9619999999999997</v>
      </c>
      <c r="D25" s="178">
        <f t="shared" si="2"/>
        <v>0.1003</v>
      </c>
      <c r="E25" s="178">
        <f t="shared" si="3"/>
        <v>0.27599999999999997</v>
      </c>
      <c r="F25" s="178">
        <f t="shared" si="4"/>
        <v>6890.4999999999991</v>
      </c>
      <c r="G25" s="178">
        <f t="shared" si="5"/>
        <v>1.2920000000000003</v>
      </c>
      <c r="H25" s="178">
        <f t="shared" si="6"/>
        <v>2.8279999999999998</v>
      </c>
      <c r="I25" s="156">
        <f>SUM(Table2B.1_AQ_NB[[#This Row],[NOX]:[VOC]])</f>
        <v>6898.9583000000002</v>
      </c>
    </row>
    <row r="26" spans="2:9">
      <c r="B26" s="135">
        <f>First_Year+'Appendix B. Project Info'!B29</f>
        <v>2032</v>
      </c>
      <c r="C26" s="178">
        <f t="shared" si="1"/>
        <v>3.8993333333333329</v>
      </c>
      <c r="D26" s="178">
        <f t="shared" si="2"/>
        <v>0.10006666666666666</v>
      </c>
      <c r="E26" s="178">
        <f t="shared" si="3"/>
        <v>0.27466666666666661</v>
      </c>
      <c r="F26" s="178">
        <f t="shared" si="4"/>
        <v>6874.3333333333321</v>
      </c>
      <c r="G26" s="178">
        <f t="shared" si="5"/>
        <v>1.2993333333333337</v>
      </c>
      <c r="H26" s="178">
        <f t="shared" si="6"/>
        <v>2.8039999999999998</v>
      </c>
      <c r="I26" s="156">
        <f>SUM(Table2B.1_AQ_NB[[#This Row],[NOX]:[VOC]])</f>
        <v>6882.7107333333324</v>
      </c>
    </row>
    <row r="27" spans="2:9">
      <c r="B27" s="135">
        <f>First_Year+'Appendix B. Project Info'!B30</f>
        <v>2033</v>
      </c>
      <c r="C27" s="178">
        <f t="shared" si="1"/>
        <v>3.836666666666666</v>
      </c>
      <c r="D27" s="178">
        <f t="shared" si="2"/>
        <v>9.9833333333333329E-2</v>
      </c>
      <c r="E27" s="178">
        <f t="shared" si="3"/>
        <v>0.27333333333333326</v>
      </c>
      <c r="F27" s="178">
        <f t="shared" si="4"/>
        <v>6858.1666666666652</v>
      </c>
      <c r="G27" s="178">
        <f t="shared" si="5"/>
        <v>1.3066666666666671</v>
      </c>
      <c r="H27" s="178">
        <f t="shared" si="6"/>
        <v>2.78</v>
      </c>
      <c r="I27" s="156">
        <f>SUM(Table2B.1_AQ_NB[[#This Row],[NOX]:[VOC]])</f>
        <v>6866.4631666666646</v>
      </c>
    </row>
    <row r="28" spans="2:9">
      <c r="B28" s="135">
        <f>First_Year+'Appendix B. Project Info'!B31</f>
        <v>2034</v>
      </c>
      <c r="C28" s="178">
        <f t="shared" si="1"/>
        <v>3.7739999999999991</v>
      </c>
      <c r="D28" s="178">
        <f t="shared" si="2"/>
        <v>9.9599999999999994E-2</v>
      </c>
      <c r="E28" s="178">
        <f t="shared" si="3"/>
        <v>0.27199999999999991</v>
      </c>
      <c r="F28" s="178">
        <f t="shared" si="4"/>
        <v>6841.9999999999982</v>
      </c>
      <c r="G28" s="178">
        <f t="shared" si="5"/>
        <v>1.3140000000000005</v>
      </c>
      <c r="H28" s="178">
        <f t="shared" si="6"/>
        <v>2.7559999999999998</v>
      </c>
      <c r="I28" s="156">
        <f>SUM(Table2B.1_AQ_NB[[#This Row],[NOX]:[VOC]])</f>
        <v>6850.2155999999986</v>
      </c>
    </row>
    <row r="29" spans="2:9">
      <c r="B29" s="135">
        <f>First_Year+'Appendix B. Project Info'!B32</f>
        <v>2035</v>
      </c>
      <c r="C29" s="178">
        <f t="shared" si="1"/>
        <v>3.7113333333333323</v>
      </c>
      <c r="D29" s="178">
        <f t="shared" si="2"/>
        <v>9.9366666666666659E-2</v>
      </c>
      <c r="E29" s="178">
        <f t="shared" si="3"/>
        <v>0.27066666666666656</v>
      </c>
      <c r="F29" s="178">
        <f t="shared" si="4"/>
        <v>6825.8333333333312</v>
      </c>
      <c r="G29" s="178">
        <f t="shared" si="5"/>
        <v>1.3213333333333339</v>
      </c>
      <c r="H29" s="178">
        <f t="shared" si="6"/>
        <v>2.7319999999999998</v>
      </c>
      <c r="I29" s="156">
        <f>SUM(Table2B.1_AQ_NB[[#This Row],[NOX]:[VOC]])</f>
        <v>6833.9680333333308</v>
      </c>
    </row>
    <row r="30" spans="2:9">
      <c r="B30" s="135">
        <f>First_Year+'Appendix B. Project Info'!B33</f>
        <v>2036</v>
      </c>
      <c r="C30" s="178">
        <f t="shared" si="1"/>
        <v>3.6486666666666654</v>
      </c>
      <c r="D30" s="178">
        <f t="shared" si="2"/>
        <v>9.9133333333333323E-2</v>
      </c>
      <c r="E30" s="178">
        <f t="shared" si="3"/>
        <v>0.2693333333333332</v>
      </c>
      <c r="F30" s="178">
        <f t="shared" si="4"/>
        <v>6809.6666666666642</v>
      </c>
      <c r="G30" s="178">
        <f t="shared" si="5"/>
        <v>1.3286666666666673</v>
      </c>
      <c r="H30" s="178">
        <f t="shared" si="6"/>
        <v>2.7079999999999997</v>
      </c>
      <c r="I30" s="156">
        <f>SUM(Table2B.1_AQ_NB[[#This Row],[NOX]:[VOC]])</f>
        <v>6817.7204666666639</v>
      </c>
    </row>
    <row r="31" spans="2:9">
      <c r="B31" s="135">
        <f>First_Year+'Appendix B. Project Info'!B34</f>
        <v>2037</v>
      </c>
      <c r="C31" s="178">
        <f t="shared" si="1"/>
        <v>3.5859999999999985</v>
      </c>
      <c r="D31" s="178">
        <f t="shared" si="2"/>
        <v>9.8899999999999988E-2</v>
      </c>
      <c r="E31" s="178">
        <f t="shared" si="3"/>
        <v>0.26799999999999985</v>
      </c>
      <c r="F31" s="178">
        <f t="shared" si="4"/>
        <v>6793.4999999999973</v>
      </c>
      <c r="G31" s="178">
        <f t="shared" si="5"/>
        <v>1.3360000000000007</v>
      </c>
      <c r="H31" s="178">
        <f t="shared" si="6"/>
        <v>2.6839999999999997</v>
      </c>
      <c r="I31" s="156">
        <f>SUM(Table2B.1_AQ_NB[[#This Row],[NOX]:[VOC]])</f>
        <v>6801.4728999999979</v>
      </c>
    </row>
    <row r="32" spans="2:9">
      <c r="B32" s="135">
        <f>First_Year+'Appendix B. Project Info'!B35</f>
        <v>2038</v>
      </c>
      <c r="C32" s="178">
        <f t="shared" si="1"/>
        <v>3.5233333333333317</v>
      </c>
      <c r="D32" s="178">
        <f t="shared" si="2"/>
        <v>9.8666666666666653E-2</v>
      </c>
      <c r="E32" s="178">
        <f t="shared" si="3"/>
        <v>0.2666666666666665</v>
      </c>
      <c r="F32" s="178">
        <f t="shared" si="4"/>
        <v>6777.3333333333303</v>
      </c>
      <c r="G32" s="178">
        <f t="shared" si="5"/>
        <v>1.3433333333333342</v>
      </c>
      <c r="H32" s="178">
        <f t="shared" si="6"/>
        <v>2.6599999999999997</v>
      </c>
      <c r="I32" s="156">
        <f>SUM(Table2B.1_AQ_NB[[#This Row],[NOX]:[VOC]])</f>
        <v>6785.2253333333301</v>
      </c>
    </row>
    <row r="33" spans="2:9">
      <c r="B33" s="135">
        <f>First_Year+'Appendix B. Project Info'!B36</f>
        <v>2039</v>
      </c>
      <c r="C33" s="178">
        <f t="shared" si="1"/>
        <v>3.4606666666666648</v>
      </c>
      <c r="D33" s="178">
        <f t="shared" si="2"/>
        <v>9.8433333333333317E-2</v>
      </c>
      <c r="E33" s="178">
        <f t="shared" si="3"/>
        <v>0.26533333333333314</v>
      </c>
      <c r="F33" s="178">
        <f t="shared" si="4"/>
        <v>6761.1666666666633</v>
      </c>
      <c r="G33" s="178">
        <f t="shared" si="5"/>
        <v>1.3506666666666676</v>
      </c>
      <c r="H33" s="178">
        <f t="shared" si="6"/>
        <v>2.6359999999999997</v>
      </c>
      <c r="I33" s="156">
        <f>SUM(Table2B.1_AQ_NB[[#This Row],[NOX]:[VOC]])</f>
        <v>6768.9777666666632</v>
      </c>
    </row>
    <row r="34" spans="2:9">
      <c r="B34" s="135">
        <f>First_Year+'Appendix B. Project Info'!B37</f>
        <v>2040</v>
      </c>
      <c r="C34" s="178">
        <f t="shared" si="1"/>
        <v>3.3979999999999979</v>
      </c>
      <c r="D34" s="178">
        <f t="shared" si="2"/>
        <v>9.8199999999999982E-2</v>
      </c>
      <c r="E34" s="178">
        <f t="shared" si="3"/>
        <v>0.26399999999999979</v>
      </c>
      <c r="F34" s="178">
        <f t="shared" si="4"/>
        <v>6744.9999999999964</v>
      </c>
      <c r="G34" s="178">
        <f t="shared" si="5"/>
        <v>1.358000000000001</v>
      </c>
      <c r="H34" s="178">
        <f t="shared" si="6"/>
        <v>2.6119999999999997</v>
      </c>
      <c r="I34" s="156">
        <f>SUM(Table2B.1_AQ_NB[[#This Row],[NOX]:[VOC]])</f>
        <v>6752.7301999999963</v>
      </c>
    </row>
    <row r="35" spans="2:9">
      <c r="B35" s="135">
        <f>First_Year+'Appendix B. Project Info'!B38</f>
        <v>2041</v>
      </c>
      <c r="C35" s="178">
        <f t="shared" si="1"/>
        <v>3.335333333333331</v>
      </c>
      <c r="D35" s="178">
        <f t="shared" si="2"/>
        <v>9.7966666666666646E-2</v>
      </c>
      <c r="E35" s="178">
        <f t="shared" si="3"/>
        <v>0.26266666666666644</v>
      </c>
      <c r="F35" s="178">
        <f t="shared" si="4"/>
        <v>6728.8333333333294</v>
      </c>
      <c r="G35" s="178">
        <f t="shared" si="5"/>
        <v>1.3653333333333344</v>
      </c>
      <c r="H35" s="178">
        <f t="shared" si="6"/>
        <v>2.5879999999999996</v>
      </c>
      <c r="I35" s="156">
        <f>SUM(Table2B.1_AQ_NB[[#This Row],[NOX]:[VOC]])</f>
        <v>6736.4826333333294</v>
      </c>
    </row>
    <row r="36" spans="2:9">
      <c r="B36" s="135">
        <f>First_Year+'Appendix B. Project Info'!B39</f>
        <v>2042</v>
      </c>
      <c r="C36" s="178">
        <f t="shared" si="1"/>
        <v>3.2726666666666642</v>
      </c>
      <c r="D36" s="178">
        <f t="shared" si="2"/>
        <v>9.7733333333333311E-2</v>
      </c>
      <c r="E36" s="178">
        <f t="shared" si="3"/>
        <v>0.26133333333333308</v>
      </c>
      <c r="F36" s="178">
        <f t="shared" si="4"/>
        <v>6712.6666666666624</v>
      </c>
      <c r="G36" s="178">
        <f t="shared" si="5"/>
        <v>1.3726666666666678</v>
      </c>
      <c r="H36" s="178">
        <f t="shared" si="6"/>
        <v>2.5639999999999996</v>
      </c>
      <c r="I36" s="156">
        <f>SUM(Table2B.1_AQ_NB[[#This Row],[NOX]:[VOC]])</f>
        <v>6720.2350666666634</v>
      </c>
    </row>
    <row r="37" spans="2:9">
      <c r="B37" s="135">
        <f>First_Year+'Appendix B. Project Info'!B40</f>
        <v>2043</v>
      </c>
      <c r="C37" s="178">
        <f t="shared" si="1"/>
        <v>3.2099999999999973</v>
      </c>
      <c r="D37" s="178">
        <f t="shared" si="2"/>
        <v>9.7499999999999976E-2</v>
      </c>
      <c r="E37" s="178">
        <f t="shared" si="3"/>
        <v>0.25999999999999973</v>
      </c>
      <c r="F37" s="178">
        <f t="shared" si="4"/>
        <v>6696.4999999999955</v>
      </c>
      <c r="G37" s="178">
        <f t="shared" si="5"/>
        <v>1.3800000000000012</v>
      </c>
      <c r="H37" s="178">
        <f t="shared" si="6"/>
        <v>2.5399999999999996</v>
      </c>
      <c r="I37" s="156">
        <f>SUM(Table2B.1_AQ_NB[[#This Row],[NOX]:[VOC]])</f>
        <v>6703.9874999999956</v>
      </c>
    </row>
    <row r="38" spans="2:9">
      <c r="B38" s="135">
        <f>First_Year+'Appendix B. Project Info'!B41</f>
        <v>2044</v>
      </c>
      <c r="C38" s="178">
        <f t="shared" si="1"/>
        <v>3.1473333333333304</v>
      </c>
      <c r="D38" s="178">
        <f t="shared" si="2"/>
        <v>9.726666666666664E-2</v>
      </c>
      <c r="E38" s="178">
        <f t="shared" si="3"/>
        <v>0.25866666666666638</v>
      </c>
      <c r="F38" s="178">
        <f t="shared" si="4"/>
        <v>6680.3333333333285</v>
      </c>
      <c r="G38" s="178">
        <f t="shared" si="5"/>
        <v>1.3873333333333346</v>
      </c>
      <c r="H38" s="178">
        <f t="shared" si="6"/>
        <v>2.5159999999999996</v>
      </c>
      <c r="I38" s="156">
        <f>SUM(Table2B.1_AQ_NB[[#This Row],[NOX]:[VOC]])</f>
        <v>6687.7399333333278</v>
      </c>
    </row>
    <row r="39" spans="2:9">
      <c r="B39" s="135">
        <f>First_Year+'Appendix B. Project Info'!B42</f>
        <v>2045</v>
      </c>
      <c r="C39" s="178">
        <f t="shared" si="1"/>
        <v>3.0846666666666636</v>
      </c>
      <c r="D39" s="178">
        <f t="shared" si="2"/>
        <v>9.7033333333333305E-2</v>
      </c>
      <c r="E39" s="178">
        <f t="shared" si="3"/>
        <v>0.25733333333333303</v>
      </c>
      <c r="F39" s="178">
        <f t="shared" si="4"/>
        <v>6664.1666666666615</v>
      </c>
      <c r="G39" s="178">
        <f t="shared" si="5"/>
        <v>1.3946666666666681</v>
      </c>
      <c r="H39" s="178">
        <f t="shared" si="6"/>
        <v>2.4919999999999995</v>
      </c>
      <c r="I39" s="156">
        <f>SUM(Table2B.1_AQ_NB[[#This Row],[NOX]:[VOC]])</f>
        <v>6671.4923666666618</v>
      </c>
    </row>
    <row r="40" spans="2:9">
      <c r="B40" s="135">
        <f>First_Year+'Appendix B. Project Info'!B43</f>
        <v>2046</v>
      </c>
      <c r="C40" s="178">
        <f t="shared" si="1"/>
        <v>3.0219999999999967</v>
      </c>
      <c r="D40" s="178">
        <f t="shared" si="2"/>
        <v>9.6799999999999969E-2</v>
      </c>
      <c r="E40" s="178">
        <f t="shared" si="3"/>
        <v>0.25599999999999967</v>
      </c>
      <c r="F40" s="178">
        <f t="shared" si="4"/>
        <v>6647.9999999999945</v>
      </c>
      <c r="G40" s="178">
        <f t="shared" si="5"/>
        <v>1.4020000000000015</v>
      </c>
      <c r="H40" s="178">
        <f t="shared" si="6"/>
        <v>2.4679999999999995</v>
      </c>
      <c r="I40" s="156">
        <f>SUM(Table2B.1_AQ_NB[[#This Row],[NOX]:[VOC]])</f>
        <v>6655.244799999994</v>
      </c>
    </row>
    <row r="41" spans="2:9">
      <c r="B41" s="135">
        <f>First_Year+'Appendix B. Project Info'!B44</f>
        <v>2047</v>
      </c>
      <c r="C41" s="178">
        <f t="shared" si="1"/>
        <v>2.9593333333333298</v>
      </c>
      <c r="D41" s="178">
        <f t="shared" si="2"/>
        <v>9.6566666666666634E-2</v>
      </c>
      <c r="E41" s="178">
        <f t="shared" si="3"/>
        <v>0.25466666666666632</v>
      </c>
      <c r="F41" s="178">
        <f t="shared" si="4"/>
        <v>6631.8333333333276</v>
      </c>
      <c r="G41" s="178">
        <f t="shared" si="5"/>
        <v>1.4093333333333349</v>
      </c>
      <c r="H41" s="178">
        <f t="shared" si="6"/>
        <v>2.4439999999999995</v>
      </c>
      <c r="I41" s="156">
        <f>SUM(Table2B.1_AQ_NB[[#This Row],[NOX]:[VOC]])</f>
        <v>6638.997233333328</v>
      </c>
    </row>
    <row r="42" spans="2:9">
      <c r="B42" s="135">
        <f>First_Year+'Appendix B. Project Info'!B45</f>
        <v>2048</v>
      </c>
      <c r="C42" s="178">
        <f t="shared" si="1"/>
        <v>2.8966666666666629</v>
      </c>
      <c r="D42" s="178">
        <f t="shared" si="2"/>
        <v>9.6333333333333299E-2</v>
      </c>
      <c r="E42" s="178">
        <f t="shared" si="3"/>
        <v>0.25333333333333297</v>
      </c>
      <c r="F42" s="178">
        <f t="shared" si="4"/>
        <v>6615.6666666666606</v>
      </c>
      <c r="G42" s="178">
        <f t="shared" si="5"/>
        <v>1.4166666666666683</v>
      </c>
      <c r="H42" s="178">
        <f t="shared" si="6"/>
        <v>2.4199999999999995</v>
      </c>
      <c r="I42" s="156">
        <f>SUM(Table2B.1_AQ_NB[[#This Row],[NOX]:[VOC]])</f>
        <v>6622.7496666666611</v>
      </c>
    </row>
    <row r="43" spans="2:9">
      <c r="B43" s="135">
        <f>First_Year+'Appendix B. Project Info'!B46</f>
        <v>2049</v>
      </c>
      <c r="C43" s="178">
        <f t="shared" si="1"/>
        <v>2.8339999999999961</v>
      </c>
      <c r="D43" s="178">
        <f t="shared" si="2"/>
        <v>9.6099999999999963E-2</v>
      </c>
      <c r="E43" s="178">
        <f t="shared" si="3"/>
        <v>0.25199999999999961</v>
      </c>
      <c r="F43" s="178">
        <f t="shared" si="4"/>
        <v>6599.4999999999936</v>
      </c>
      <c r="G43" s="178">
        <f t="shared" si="5"/>
        <v>1.4240000000000017</v>
      </c>
      <c r="H43" s="178">
        <f t="shared" si="6"/>
        <v>2.3959999999999995</v>
      </c>
      <c r="I43" s="156">
        <f>SUM(Table2B.1_AQ_NB[[#This Row],[NOX]:[VOC]])</f>
        <v>6606.5020999999933</v>
      </c>
    </row>
    <row r="44" spans="2:9">
      <c r="B44" s="135">
        <f>First_Year+'Appendix B. Project Info'!B47</f>
        <v>2050</v>
      </c>
      <c r="C44" s="178">
        <f t="shared" si="1"/>
        <v>2.7713333333333292</v>
      </c>
      <c r="D44" s="178">
        <f t="shared" si="2"/>
        <v>9.5866666666666628E-2</v>
      </c>
      <c r="E44" s="178">
        <f t="shared" si="3"/>
        <v>0.25066666666666626</v>
      </c>
      <c r="F44" s="178">
        <f t="shared" si="4"/>
        <v>6583.3333333333267</v>
      </c>
      <c r="G44" s="178">
        <f t="shared" si="5"/>
        <v>1.4313333333333351</v>
      </c>
      <c r="H44" s="178">
        <f t="shared" si="6"/>
        <v>2.3719999999999994</v>
      </c>
      <c r="I44" s="156">
        <f>SUM(Table2B.1_AQ_NB[[#This Row],[NOX]:[VOC]])</f>
        <v>6590.2545333333264</v>
      </c>
    </row>
    <row r="45" spans="2:9">
      <c r="B45" s="135">
        <f>First_Year+'Appendix B. Project Info'!B48</f>
        <v>2051</v>
      </c>
      <c r="C45" s="178">
        <f t="shared" si="1"/>
        <v>2.7086666666666623</v>
      </c>
      <c r="D45" s="178">
        <f t="shared" si="2"/>
        <v>9.5633333333333292E-2</v>
      </c>
      <c r="E45" s="178">
        <f t="shared" si="3"/>
        <v>0.24933333333333293</v>
      </c>
      <c r="F45" s="178">
        <f t="shared" si="4"/>
        <v>6567.1666666666597</v>
      </c>
      <c r="G45" s="178">
        <f t="shared" si="5"/>
        <v>1.4386666666666685</v>
      </c>
      <c r="H45" s="178">
        <f t="shared" si="6"/>
        <v>2.3479999999999994</v>
      </c>
      <c r="I45" s="156">
        <f>SUM(Table2B.1_AQ_NB[[#This Row],[NOX]:[VOC]])</f>
        <v>6574.0069666666595</v>
      </c>
    </row>
    <row r="46" spans="2:9">
      <c r="B46" s="135">
        <f>First_Year+'Appendix B. Project Info'!B49</f>
        <v>2052</v>
      </c>
      <c r="C46" s="178">
        <f t="shared" si="1"/>
        <v>2.6459999999999955</v>
      </c>
      <c r="D46" s="178">
        <f t="shared" si="2"/>
        <v>9.5399999999999957E-2</v>
      </c>
      <c r="E46" s="178">
        <f t="shared" si="3"/>
        <v>0.24799999999999961</v>
      </c>
      <c r="F46" s="178">
        <f t="shared" si="4"/>
        <v>6550.9999999999927</v>
      </c>
      <c r="G46" s="178">
        <f t="shared" si="5"/>
        <v>1.446000000000002</v>
      </c>
      <c r="H46" s="178">
        <f t="shared" si="6"/>
        <v>2.3239999999999994</v>
      </c>
      <c r="I46" s="156">
        <f>SUM(Table2B.1_AQ_NB[[#This Row],[NOX]:[VOC]])</f>
        <v>6557.7593999999926</v>
      </c>
    </row>
    <row r="47" spans="2:9">
      <c r="B47" s="135">
        <f>First_Year+'Appendix B. Project Info'!B50</f>
        <v>2053</v>
      </c>
      <c r="C47" s="178">
        <f t="shared" si="1"/>
        <v>2.5833333333333286</v>
      </c>
      <c r="D47" s="178">
        <f t="shared" si="2"/>
        <v>9.5166666666666622E-2</v>
      </c>
      <c r="E47" s="178">
        <f t="shared" si="3"/>
        <v>0.24666666666666628</v>
      </c>
      <c r="F47" s="178">
        <f t="shared" si="4"/>
        <v>6534.8333333333258</v>
      </c>
      <c r="G47" s="178">
        <f t="shared" si="5"/>
        <v>1.4533333333333354</v>
      </c>
      <c r="H47" s="178">
        <f t="shared" si="6"/>
        <v>2.2999999999999994</v>
      </c>
      <c r="I47" s="156">
        <f>SUM(Table2B.1_AQ_NB[[#This Row],[NOX]:[VOC]])</f>
        <v>6541.5118333333257</v>
      </c>
    </row>
    <row r="48" spans="2:9">
      <c r="B48" s="135">
        <f>First_Year+'Appendix B. Project Info'!B51</f>
        <v>2054</v>
      </c>
      <c r="C48" s="178">
        <f t="shared" si="1"/>
        <v>2.5206666666666617</v>
      </c>
      <c r="D48" s="178">
        <f t="shared" si="2"/>
        <v>9.4933333333333286E-2</v>
      </c>
      <c r="E48" s="178">
        <f t="shared" si="3"/>
        <v>0.24533333333333296</v>
      </c>
      <c r="F48" s="178">
        <f t="shared" si="4"/>
        <v>6518.6666666666588</v>
      </c>
      <c r="G48" s="178">
        <f t="shared" si="5"/>
        <v>1.4606666666666688</v>
      </c>
      <c r="H48" s="178">
        <f t="shared" si="6"/>
        <v>2.2759999999999994</v>
      </c>
      <c r="I48" s="156">
        <f>SUM(Table2B.1_AQ_NB[[#This Row],[NOX]:[VOC]])</f>
        <v>6525.2642666666588</v>
      </c>
    </row>
    <row r="49" spans="2:9">
      <c r="B49" s="135">
        <f>First_Year+'Appendix B. Project Info'!B52</f>
        <v>2055</v>
      </c>
      <c r="C49" s="178">
        <f t="shared" si="1"/>
        <v>2.4579999999999949</v>
      </c>
      <c r="D49" s="178">
        <f t="shared" si="2"/>
        <v>9.4699999999999951E-2</v>
      </c>
      <c r="E49" s="178">
        <f t="shared" si="3"/>
        <v>0.24399999999999963</v>
      </c>
      <c r="F49" s="178">
        <f t="shared" si="4"/>
        <v>6502.4999999999918</v>
      </c>
      <c r="G49" s="178">
        <f t="shared" si="5"/>
        <v>1.4680000000000022</v>
      </c>
      <c r="H49" s="178">
        <f t="shared" si="6"/>
        <v>2.2519999999999993</v>
      </c>
      <c r="I49" s="156">
        <f>SUM(Table2B.1_AQ_NB[[#This Row],[NOX]:[VOC]])</f>
        <v>6509.0166999999919</v>
      </c>
    </row>
    <row r="50" spans="2:9">
      <c r="B50" s="135">
        <f>First_Year+'Appendix B. Project Info'!B53</f>
        <v>2056</v>
      </c>
      <c r="C50" s="178">
        <f t="shared" si="1"/>
        <v>2.395333333333328</v>
      </c>
      <c r="D50" s="178">
        <f t="shared" si="2"/>
        <v>9.4466666666666615E-2</v>
      </c>
      <c r="E50" s="178">
        <f t="shared" si="3"/>
        <v>0.24266666666666631</v>
      </c>
      <c r="F50" s="178">
        <f t="shared" si="4"/>
        <v>6486.3333333333248</v>
      </c>
      <c r="G50" s="178">
        <f t="shared" si="5"/>
        <v>1.4753333333333356</v>
      </c>
      <c r="H50" s="178">
        <f t="shared" si="6"/>
        <v>2.2279999999999993</v>
      </c>
      <c r="I50" s="156">
        <f>SUM(Table2B.1_AQ_NB[[#This Row],[NOX]:[VOC]])</f>
        <v>6492.769133333325</v>
      </c>
    </row>
    <row r="51" spans="2:9">
      <c r="B51" s="135">
        <f>First_Year+'Appendix B. Project Info'!B54</f>
        <v>2057</v>
      </c>
      <c r="C51" s="178">
        <f t="shared" si="1"/>
        <v>2.3326666666666611</v>
      </c>
      <c r="D51" s="178">
        <f t="shared" si="2"/>
        <v>9.423333333333328E-2</v>
      </c>
      <c r="E51" s="178">
        <f t="shared" si="3"/>
        <v>0.24133333333333298</v>
      </c>
      <c r="F51" s="178">
        <f t="shared" si="4"/>
        <v>6470.1666666666579</v>
      </c>
      <c r="G51" s="178">
        <f t="shared" si="5"/>
        <v>1.482666666666669</v>
      </c>
      <c r="H51" s="178">
        <f t="shared" si="6"/>
        <v>2.2039999999999993</v>
      </c>
      <c r="I51" s="156">
        <f>SUM(Table2B.1_AQ_NB[[#This Row],[NOX]:[VOC]])</f>
        <v>6476.5215666666581</v>
      </c>
    </row>
    <row r="52" spans="2:9">
      <c r="B52" s="135">
        <f>First_Year+'Appendix B. Project Info'!B55</f>
        <v>2058</v>
      </c>
      <c r="C52" s="205">
        <v>2.27</v>
      </c>
      <c r="D52" s="205">
        <v>9.4E-2</v>
      </c>
      <c r="E52" s="205">
        <v>0.24</v>
      </c>
      <c r="F52" s="205">
        <v>6454</v>
      </c>
      <c r="G52" s="205">
        <v>1.49</v>
      </c>
      <c r="H52" s="205">
        <v>2.1800000000000002</v>
      </c>
      <c r="I52" s="156">
        <f>SUM(Table2B.1_AQ_NB[[#This Row],[NOX]:[VOC]])</f>
        <v>6460.2740000000003</v>
      </c>
    </row>
    <row r="53" spans="2:9">
      <c r="B53" s="135" t="s">
        <v>26</v>
      </c>
      <c r="C53" s="203">
        <f>SUBTOTAL(109,Table2B.1_AQ_NB[NOX])</f>
        <v>99.509999999999948</v>
      </c>
      <c r="D53" s="203">
        <f>SUBTOTAL(109,Table2B.1_AQ_NB[SOx])</f>
        <v>3.0224999999999991</v>
      </c>
      <c r="E53" s="203">
        <f>SUBTOTAL(109,Table2B.1_AQ_NB[PM2.5])</f>
        <v>8.0599999999999934</v>
      </c>
      <c r="F53" s="203">
        <f>SUBTOTAL(109,Table2B.1_AQ_NB[CO2])</f>
        <v>207591.49999999983</v>
      </c>
      <c r="G53" s="203">
        <f>SUBTOTAL(109,Table2B.1_AQ_NB[PM10])</f>
        <v>42.780000000000044</v>
      </c>
      <c r="H53" s="203">
        <f>SUBTOTAL(109,Table2B.1_AQ_NB[VOC])</f>
        <v>78.739999999999981</v>
      </c>
      <c r="I53" s="204">
        <f>SUBTOTAL(109,Table2B.1_AQ_NB[Total])</f>
        <v>207823.61249999987</v>
      </c>
    </row>
    <row r="55" spans="2:9">
      <c r="B55" s="63" t="s">
        <v>141</v>
      </c>
    </row>
    <row r="57" spans="2:9">
      <c r="B57" s="134" t="s">
        <v>19</v>
      </c>
      <c r="C57" s="146" t="s">
        <v>130</v>
      </c>
      <c r="D57" s="146" t="s">
        <v>122</v>
      </c>
      <c r="E57" s="146" t="s">
        <v>131</v>
      </c>
      <c r="F57" s="146" t="s">
        <v>132</v>
      </c>
      <c r="G57" s="146" t="s">
        <v>133</v>
      </c>
      <c r="H57" s="146" t="s">
        <v>126</v>
      </c>
      <c r="I57" s="146" t="s">
        <v>26</v>
      </c>
    </row>
    <row r="58" spans="2:9">
      <c r="B58" s="135">
        <f>First_Year+'Appendix B. Project Info'!B20</f>
        <v>2023</v>
      </c>
      <c r="C58" s="205"/>
      <c r="D58" s="205"/>
      <c r="E58" s="205"/>
      <c r="F58" s="205"/>
      <c r="G58" s="205"/>
      <c r="H58" s="205"/>
      <c r="I58" s="156">
        <f>SUM(Table2B.2_AQ_PA[[#This Row],[NOX]:[VOC]])</f>
        <v>0</v>
      </c>
    </row>
    <row r="59" spans="2:9">
      <c r="B59" s="135">
        <f>First_Year+'Appendix B. Project Info'!B21</f>
        <v>2024</v>
      </c>
      <c r="C59" s="205"/>
      <c r="D59" s="205"/>
      <c r="E59" s="205"/>
      <c r="F59" s="205"/>
      <c r="G59" s="205"/>
      <c r="H59" s="205"/>
      <c r="I59" s="156">
        <f>SUM(Table2B.2_AQ_PA[[#This Row],[NOX]:[VOC]])</f>
        <v>0</v>
      </c>
    </row>
    <row r="60" spans="2:9">
      <c r="B60" s="135">
        <f>First_Year+'Appendix B. Project Info'!B22</f>
        <v>2025</v>
      </c>
      <c r="C60" s="205"/>
      <c r="D60" s="205"/>
      <c r="E60" s="205"/>
      <c r="F60" s="205"/>
      <c r="G60" s="205"/>
      <c r="H60" s="205"/>
      <c r="I60" s="156">
        <f>SUM(Table2B.2_AQ_PA[[#This Row],[NOX]:[VOC]])</f>
        <v>0</v>
      </c>
    </row>
    <row r="61" spans="2:9">
      <c r="B61" s="135">
        <f>First_Year+'Appendix B. Project Info'!B23</f>
        <v>2026</v>
      </c>
      <c r="C61" s="205"/>
      <c r="D61" s="205"/>
      <c r="E61" s="205"/>
      <c r="F61" s="205"/>
      <c r="G61" s="205"/>
      <c r="H61" s="205"/>
      <c r="I61" s="156">
        <f>SUM(Table2B.2_AQ_PA[[#This Row],[NOX]:[VOC]])</f>
        <v>0</v>
      </c>
    </row>
    <row r="62" spans="2:9">
      <c r="B62" s="135">
        <f>First_Year+'Appendix B. Project Info'!B24</f>
        <v>2027</v>
      </c>
      <c r="C62" s="205"/>
      <c r="D62" s="205"/>
      <c r="E62" s="205"/>
      <c r="F62" s="205"/>
      <c r="G62" s="205"/>
      <c r="H62" s="205"/>
      <c r="I62" s="156">
        <f>SUM(Table2B.2_AQ_PA[[#This Row],[NOX]:[VOC]])</f>
        <v>0</v>
      </c>
    </row>
    <row r="63" spans="2:9">
      <c r="B63" s="135">
        <f>First_Year+'Appendix B. Project Info'!B25</f>
        <v>2028</v>
      </c>
      <c r="C63" s="205">
        <v>3.97</v>
      </c>
      <c r="D63" s="205">
        <v>9.8000000000000004E-2</v>
      </c>
      <c r="E63" s="205">
        <v>0.28000000000000003</v>
      </c>
      <c r="F63" s="205">
        <v>6715</v>
      </c>
      <c r="G63" s="205">
        <v>1.38</v>
      </c>
      <c r="H63" s="205">
        <v>2.78</v>
      </c>
      <c r="I63" s="156">
        <f>SUM(Table2B.2_AQ_PA[[#This Row],[NOX]:[VOC]])</f>
        <v>6723.5079999999998</v>
      </c>
    </row>
    <row r="64" spans="2:9">
      <c r="B64" s="135">
        <f>First_Year+'Appendix B. Project Info'!B26</f>
        <v>2029</v>
      </c>
      <c r="C64" s="178">
        <f>C63+(($C$93-$C$63)/30)</f>
        <v>3.9080000000000004</v>
      </c>
      <c r="D64" s="178">
        <f>D63+(($D$93-$D$63)/30)</f>
        <v>9.7600000000000006E-2</v>
      </c>
      <c r="E64" s="178">
        <f>E63+(($E$93-$E$63)/30)</f>
        <v>0.27833333333333338</v>
      </c>
      <c r="F64" s="178">
        <f>F63+(($F$93-$F$63)/30)</f>
        <v>6689.8</v>
      </c>
      <c r="G64" s="178">
        <f>G63+(($G$93-$G$63)/30)</f>
        <v>1.3363333333333332</v>
      </c>
      <c r="H64" s="178">
        <f>H63+(($H$93-$H$63)/30)</f>
        <v>2.6929999999999996</v>
      </c>
      <c r="I64" s="156">
        <f>SUM(Table2B.2_AQ_PA[[#This Row],[NOX]:[VOC]])</f>
        <v>6698.1132666666672</v>
      </c>
    </row>
    <row r="65" spans="2:9">
      <c r="B65" s="135">
        <f>First_Year+'Appendix B. Project Info'!B27</f>
        <v>2030</v>
      </c>
      <c r="C65" s="178">
        <f t="shared" ref="C65:C92" si="7">C64+(($C$93-$C$63)/30)</f>
        <v>3.8460000000000005</v>
      </c>
      <c r="D65" s="178">
        <f t="shared" ref="D65:D92" si="8">D64+(($D$93-$D$63)/30)</f>
        <v>9.7200000000000009E-2</v>
      </c>
      <c r="E65" s="178">
        <f t="shared" ref="E65:E92" si="9">E64+(($E$93-$E$63)/30)</f>
        <v>0.27666666666666673</v>
      </c>
      <c r="F65" s="178">
        <f t="shared" ref="F65:F92" si="10">F64+(($F$93-$F$63)/30)</f>
        <v>6664.6</v>
      </c>
      <c r="G65" s="178">
        <f t="shared" ref="G65:G92" si="11">G64+(($G$93-$G$63)/30)</f>
        <v>1.2926666666666664</v>
      </c>
      <c r="H65" s="178">
        <f t="shared" ref="H65:H92" si="12">H64+(($H$93-$H$63)/30)</f>
        <v>2.6059999999999994</v>
      </c>
      <c r="I65" s="156">
        <f>SUM(Table2B.2_AQ_PA[[#This Row],[NOX]:[VOC]])</f>
        <v>6672.7185333333327</v>
      </c>
    </row>
    <row r="66" spans="2:9">
      <c r="B66" s="135">
        <f>First_Year+'Appendix B. Project Info'!B28</f>
        <v>2031</v>
      </c>
      <c r="C66" s="178">
        <f t="shared" si="7"/>
        <v>3.7840000000000007</v>
      </c>
      <c r="D66" s="178">
        <f t="shared" si="8"/>
        <v>9.6800000000000011E-2</v>
      </c>
      <c r="E66" s="178">
        <f t="shared" si="9"/>
        <v>0.27500000000000008</v>
      </c>
      <c r="F66" s="178">
        <f t="shared" si="10"/>
        <v>6639.4000000000005</v>
      </c>
      <c r="G66" s="178">
        <f t="shared" si="11"/>
        <v>1.2489999999999997</v>
      </c>
      <c r="H66" s="178">
        <f t="shared" si="12"/>
        <v>2.5189999999999992</v>
      </c>
      <c r="I66" s="156">
        <f>SUM(Table2B.2_AQ_PA[[#This Row],[NOX]:[VOC]])</f>
        <v>6647.323800000001</v>
      </c>
    </row>
    <row r="67" spans="2:9">
      <c r="B67" s="135">
        <f>First_Year+'Appendix B. Project Info'!B29</f>
        <v>2032</v>
      </c>
      <c r="C67" s="178">
        <f t="shared" si="7"/>
        <v>3.7220000000000009</v>
      </c>
      <c r="D67" s="178">
        <f t="shared" si="8"/>
        <v>9.6400000000000013E-2</v>
      </c>
      <c r="E67" s="178">
        <f t="shared" si="9"/>
        <v>0.27333333333333343</v>
      </c>
      <c r="F67" s="178">
        <f t="shared" si="10"/>
        <v>6614.2000000000007</v>
      </c>
      <c r="G67" s="178">
        <f t="shared" si="11"/>
        <v>1.2053333333333329</v>
      </c>
      <c r="H67" s="178">
        <f t="shared" si="12"/>
        <v>2.4319999999999991</v>
      </c>
      <c r="I67" s="156">
        <f>SUM(Table2B.2_AQ_PA[[#This Row],[NOX]:[VOC]])</f>
        <v>6621.9290666666675</v>
      </c>
    </row>
    <row r="68" spans="2:9">
      <c r="B68" s="135">
        <f>First_Year+'Appendix B. Project Info'!B30</f>
        <v>2033</v>
      </c>
      <c r="C68" s="178">
        <f t="shared" si="7"/>
        <v>3.660000000000001</v>
      </c>
      <c r="D68" s="178">
        <f t="shared" si="8"/>
        <v>9.6000000000000016E-2</v>
      </c>
      <c r="E68" s="178">
        <f t="shared" si="9"/>
        <v>0.27166666666666678</v>
      </c>
      <c r="F68" s="178">
        <f t="shared" si="10"/>
        <v>6589.0000000000009</v>
      </c>
      <c r="G68" s="178">
        <f t="shared" si="11"/>
        <v>1.1616666666666662</v>
      </c>
      <c r="H68" s="178">
        <f t="shared" si="12"/>
        <v>2.3449999999999989</v>
      </c>
      <c r="I68" s="156">
        <f>SUM(Table2B.2_AQ_PA[[#This Row],[NOX]:[VOC]])</f>
        <v>6596.5343333333349</v>
      </c>
    </row>
    <row r="69" spans="2:9">
      <c r="B69" s="135">
        <f>First_Year+'Appendix B. Project Info'!B31</f>
        <v>2034</v>
      </c>
      <c r="C69" s="178">
        <f t="shared" si="7"/>
        <v>3.5980000000000012</v>
      </c>
      <c r="D69" s="178">
        <f t="shared" si="8"/>
        <v>9.5600000000000018E-2</v>
      </c>
      <c r="E69" s="178">
        <f t="shared" si="9"/>
        <v>0.27000000000000013</v>
      </c>
      <c r="F69" s="178">
        <f t="shared" si="10"/>
        <v>6563.8000000000011</v>
      </c>
      <c r="G69" s="178">
        <f t="shared" si="11"/>
        <v>1.1179999999999994</v>
      </c>
      <c r="H69" s="178">
        <f t="shared" si="12"/>
        <v>2.2579999999999987</v>
      </c>
      <c r="I69" s="156">
        <f>SUM(Table2B.2_AQ_PA[[#This Row],[NOX]:[VOC]])</f>
        <v>6571.1396000000013</v>
      </c>
    </row>
    <row r="70" spans="2:9">
      <c r="B70" s="135">
        <f>First_Year+'Appendix B. Project Info'!B32</f>
        <v>2035</v>
      </c>
      <c r="C70" s="178">
        <f t="shared" si="7"/>
        <v>3.5360000000000014</v>
      </c>
      <c r="D70" s="178">
        <f t="shared" si="8"/>
        <v>9.5200000000000021E-2</v>
      </c>
      <c r="E70" s="178">
        <f t="shared" si="9"/>
        <v>0.26833333333333348</v>
      </c>
      <c r="F70" s="178">
        <f t="shared" si="10"/>
        <v>6538.6000000000013</v>
      </c>
      <c r="G70" s="178">
        <f t="shared" si="11"/>
        <v>1.0743333333333327</v>
      </c>
      <c r="H70" s="178">
        <f t="shared" si="12"/>
        <v>2.1709999999999985</v>
      </c>
      <c r="I70" s="156">
        <f>SUM(Table2B.2_AQ_PA[[#This Row],[NOX]:[VOC]])</f>
        <v>6545.7448666666678</v>
      </c>
    </row>
    <row r="71" spans="2:9">
      <c r="B71" s="135">
        <f>First_Year+'Appendix B. Project Info'!B33</f>
        <v>2036</v>
      </c>
      <c r="C71" s="178">
        <f t="shared" si="7"/>
        <v>3.4740000000000015</v>
      </c>
      <c r="D71" s="178">
        <f t="shared" si="8"/>
        <v>9.4800000000000023E-2</v>
      </c>
      <c r="E71" s="178">
        <f t="shared" si="9"/>
        <v>0.26666666666666683</v>
      </c>
      <c r="F71" s="178">
        <f t="shared" si="10"/>
        <v>6513.4000000000015</v>
      </c>
      <c r="G71" s="178">
        <f t="shared" si="11"/>
        <v>1.030666666666666</v>
      </c>
      <c r="H71" s="178">
        <f t="shared" si="12"/>
        <v>2.0839999999999983</v>
      </c>
      <c r="I71" s="156">
        <f>SUM(Table2B.2_AQ_PA[[#This Row],[NOX]:[VOC]])</f>
        <v>6520.3501333333343</v>
      </c>
    </row>
    <row r="72" spans="2:9">
      <c r="B72" s="135">
        <f>First_Year+'Appendix B. Project Info'!B34</f>
        <v>2037</v>
      </c>
      <c r="C72" s="178">
        <f t="shared" si="7"/>
        <v>3.4120000000000017</v>
      </c>
      <c r="D72" s="178">
        <f t="shared" si="8"/>
        <v>9.4400000000000026E-2</v>
      </c>
      <c r="E72" s="178">
        <f t="shared" si="9"/>
        <v>0.26500000000000018</v>
      </c>
      <c r="F72" s="178">
        <f t="shared" si="10"/>
        <v>6488.2000000000016</v>
      </c>
      <c r="G72" s="178">
        <f t="shared" si="11"/>
        <v>0.98699999999999932</v>
      </c>
      <c r="H72" s="178">
        <f t="shared" si="12"/>
        <v>1.9969999999999983</v>
      </c>
      <c r="I72" s="156">
        <f>SUM(Table2B.2_AQ_PA[[#This Row],[NOX]:[VOC]])</f>
        <v>6494.9554000000016</v>
      </c>
    </row>
    <row r="73" spans="2:9">
      <c r="B73" s="135">
        <f>First_Year+'Appendix B. Project Info'!B35</f>
        <v>2038</v>
      </c>
      <c r="C73" s="178">
        <f t="shared" si="7"/>
        <v>3.3500000000000019</v>
      </c>
      <c r="D73" s="178">
        <f t="shared" si="8"/>
        <v>9.4000000000000028E-2</v>
      </c>
      <c r="E73" s="178">
        <f t="shared" si="9"/>
        <v>0.26333333333333353</v>
      </c>
      <c r="F73" s="178">
        <f t="shared" si="10"/>
        <v>6463.0000000000018</v>
      </c>
      <c r="G73" s="178">
        <f t="shared" si="11"/>
        <v>0.94333333333333269</v>
      </c>
      <c r="H73" s="178">
        <f t="shared" si="12"/>
        <v>1.9099999999999984</v>
      </c>
      <c r="I73" s="156">
        <f>SUM(Table2B.2_AQ_PA[[#This Row],[NOX]:[VOC]])</f>
        <v>6469.560666666669</v>
      </c>
    </row>
    <row r="74" spans="2:9">
      <c r="B74" s="135">
        <f>First_Year+'Appendix B. Project Info'!B36</f>
        <v>2039</v>
      </c>
      <c r="C74" s="178">
        <f t="shared" si="7"/>
        <v>3.288000000000002</v>
      </c>
      <c r="D74" s="178">
        <f t="shared" si="8"/>
        <v>9.360000000000003E-2</v>
      </c>
      <c r="E74" s="178">
        <f t="shared" si="9"/>
        <v>0.26166666666666688</v>
      </c>
      <c r="F74" s="178">
        <f t="shared" si="10"/>
        <v>6437.800000000002</v>
      </c>
      <c r="G74" s="178">
        <f t="shared" si="11"/>
        <v>0.89966666666666606</v>
      </c>
      <c r="H74" s="178">
        <f t="shared" si="12"/>
        <v>1.8229999999999984</v>
      </c>
      <c r="I74" s="156">
        <f>SUM(Table2B.2_AQ_PA[[#This Row],[NOX]:[VOC]])</f>
        <v>6444.1659333333355</v>
      </c>
    </row>
    <row r="75" spans="2:9">
      <c r="B75" s="135">
        <f>First_Year+'Appendix B. Project Info'!B37</f>
        <v>2040</v>
      </c>
      <c r="C75" s="178">
        <f t="shared" si="7"/>
        <v>3.2260000000000022</v>
      </c>
      <c r="D75" s="178">
        <f t="shared" si="8"/>
        <v>9.3200000000000033E-2</v>
      </c>
      <c r="E75" s="178">
        <f t="shared" si="9"/>
        <v>0.26000000000000023</v>
      </c>
      <c r="F75" s="178">
        <f t="shared" si="10"/>
        <v>6412.6000000000022</v>
      </c>
      <c r="G75" s="178">
        <f t="shared" si="11"/>
        <v>0.85599999999999943</v>
      </c>
      <c r="H75" s="178">
        <f t="shared" si="12"/>
        <v>1.7359999999999984</v>
      </c>
      <c r="I75" s="156">
        <f>SUM(Table2B.2_AQ_PA[[#This Row],[NOX]:[VOC]])</f>
        <v>6418.771200000002</v>
      </c>
    </row>
    <row r="76" spans="2:9">
      <c r="B76" s="135">
        <f>First_Year+'Appendix B. Project Info'!B38</f>
        <v>2041</v>
      </c>
      <c r="C76" s="178">
        <f t="shared" si="7"/>
        <v>3.1640000000000024</v>
      </c>
      <c r="D76" s="178">
        <f t="shared" si="8"/>
        <v>9.2800000000000035E-2</v>
      </c>
      <c r="E76" s="178">
        <f t="shared" si="9"/>
        <v>0.25833333333333358</v>
      </c>
      <c r="F76" s="178">
        <f t="shared" si="10"/>
        <v>6387.4000000000024</v>
      </c>
      <c r="G76" s="178">
        <f t="shared" si="11"/>
        <v>0.8123333333333328</v>
      </c>
      <c r="H76" s="178">
        <f t="shared" si="12"/>
        <v>1.6489999999999985</v>
      </c>
      <c r="I76" s="156">
        <f>SUM(Table2B.2_AQ_PA[[#This Row],[NOX]:[VOC]])</f>
        <v>6393.3764666666693</v>
      </c>
    </row>
    <row r="77" spans="2:9">
      <c r="B77" s="135">
        <f>First_Year+'Appendix B. Project Info'!B39</f>
        <v>2042</v>
      </c>
      <c r="C77" s="178">
        <f t="shared" si="7"/>
        <v>3.1020000000000025</v>
      </c>
      <c r="D77" s="178">
        <f t="shared" si="8"/>
        <v>9.2400000000000038E-2</v>
      </c>
      <c r="E77" s="178">
        <f t="shared" si="9"/>
        <v>0.25666666666666693</v>
      </c>
      <c r="F77" s="178">
        <f t="shared" si="10"/>
        <v>6362.2000000000025</v>
      </c>
      <c r="G77" s="178">
        <f t="shared" si="11"/>
        <v>0.76866666666666617</v>
      </c>
      <c r="H77" s="178">
        <f t="shared" si="12"/>
        <v>1.5619999999999985</v>
      </c>
      <c r="I77" s="156">
        <f>SUM(Table2B.2_AQ_PA[[#This Row],[NOX]:[VOC]])</f>
        <v>6367.9817333333358</v>
      </c>
    </row>
    <row r="78" spans="2:9">
      <c r="B78" s="135">
        <f>First_Year+'Appendix B. Project Info'!B40</f>
        <v>2043</v>
      </c>
      <c r="C78" s="178">
        <f t="shared" si="7"/>
        <v>3.0400000000000027</v>
      </c>
      <c r="D78" s="178">
        <f t="shared" si="8"/>
        <v>9.200000000000004E-2</v>
      </c>
      <c r="E78" s="178">
        <f t="shared" si="9"/>
        <v>0.25500000000000028</v>
      </c>
      <c r="F78" s="178">
        <f t="shared" si="10"/>
        <v>6337.0000000000027</v>
      </c>
      <c r="G78" s="178">
        <f t="shared" si="11"/>
        <v>0.72499999999999953</v>
      </c>
      <c r="H78" s="178">
        <f t="shared" si="12"/>
        <v>1.4749999999999985</v>
      </c>
      <c r="I78" s="156">
        <f>SUM(Table2B.2_AQ_PA[[#This Row],[NOX]:[VOC]])</f>
        <v>6342.5870000000032</v>
      </c>
    </row>
    <row r="79" spans="2:9">
      <c r="B79" s="135">
        <f>First_Year+'Appendix B. Project Info'!B41</f>
        <v>2044</v>
      </c>
      <c r="C79" s="178">
        <f t="shared" si="7"/>
        <v>2.9780000000000029</v>
      </c>
      <c r="D79" s="178">
        <f t="shared" si="8"/>
        <v>9.1600000000000042E-2</v>
      </c>
      <c r="E79" s="178">
        <f t="shared" si="9"/>
        <v>0.25333333333333363</v>
      </c>
      <c r="F79" s="178">
        <f t="shared" si="10"/>
        <v>6311.8000000000029</v>
      </c>
      <c r="G79" s="178">
        <f t="shared" si="11"/>
        <v>0.6813333333333329</v>
      </c>
      <c r="H79" s="178">
        <f t="shared" si="12"/>
        <v>1.3879999999999986</v>
      </c>
      <c r="I79" s="156">
        <f>SUM(Table2B.2_AQ_PA[[#This Row],[NOX]:[VOC]])</f>
        <v>6317.1922666666687</v>
      </c>
    </row>
    <row r="80" spans="2:9">
      <c r="B80" s="135">
        <f>First_Year+'Appendix B. Project Info'!B42</f>
        <v>2045</v>
      </c>
      <c r="C80" s="178">
        <f t="shared" si="7"/>
        <v>2.916000000000003</v>
      </c>
      <c r="D80" s="178">
        <f t="shared" si="8"/>
        <v>9.1200000000000045E-2</v>
      </c>
      <c r="E80" s="178">
        <f t="shared" si="9"/>
        <v>0.25166666666666698</v>
      </c>
      <c r="F80" s="178">
        <f t="shared" si="10"/>
        <v>6286.6000000000031</v>
      </c>
      <c r="G80" s="178">
        <f t="shared" si="11"/>
        <v>0.63766666666666627</v>
      </c>
      <c r="H80" s="178">
        <f t="shared" si="12"/>
        <v>1.3009999999999986</v>
      </c>
      <c r="I80" s="156">
        <f>SUM(Table2B.2_AQ_PA[[#This Row],[NOX]:[VOC]])</f>
        <v>6291.797533333337</v>
      </c>
    </row>
    <row r="81" spans="2:9">
      <c r="B81" s="135">
        <f>First_Year+'Appendix B. Project Info'!B43</f>
        <v>2046</v>
      </c>
      <c r="C81" s="178">
        <f t="shared" si="7"/>
        <v>2.8540000000000032</v>
      </c>
      <c r="D81" s="178">
        <f t="shared" si="8"/>
        <v>9.0800000000000047E-2</v>
      </c>
      <c r="E81" s="178">
        <f t="shared" si="9"/>
        <v>0.25000000000000033</v>
      </c>
      <c r="F81" s="178">
        <f t="shared" si="10"/>
        <v>6261.4000000000033</v>
      </c>
      <c r="G81" s="178">
        <f t="shared" si="11"/>
        <v>0.59399999999999964</v>
      </c>
      <c r="H81" s="178">
        <f>H80+(($H$93-$H$63)/30)</f>
        <v>1.2139999999999986</v>
      </c>
      <c r="I81" s="156">
        <f>SUM(Table2B.2_AQ_PA[[#This Row],[NOX]:[VOC]])</f>
        <v>6266.4028000000035</v>
      </c>
    </row>
    <row r="82" spans="2:9">
      <c r="B82" s="135">
        <f>First_Year+'Appendix B. Project Info'!B44</f>
        <v>2047</v>
      </c>
      <c r="C82" s="178">
        <f t="shared" si="7"/>
        <v>2.7920000000000034</v>
      </c>
      <c r="D82" s="178">
        <f t="shared" si="8"/>
        <v>9.040000000000005E-2</v>
      </c>
      <c r="E82" s="178">
        <f t="shared" si="9"/>
        <v>0.24833333333333366</v>
      </c>
      <c r="F82" s="178">
        <f t="shared" si="10"/>
        <v>6236.2000000000035</v>
      </c>
      <c r="G82" s="178">
        <f t="shared" si="11"/>
        <v>0.55033333333333301</v>
      </c>
      <c r="H82" s="178">
        <f t="shared" si="12"/>
        <v>1.1269999999999987</v>
      </c>
      <c r="I82" s="156">
        <f>SUM(Table2B.2_AQ_PA[[#This Row],[NOX]:[VOC]])</f>
        <v>6241.0080666666709</v>
      </c>
    </row>
    <row r="83" spans="2:9">
      <c r="B83" s="135">
        <f>First_Year+'Appendix B. Project Info'!B45</f>
        <v>2048</v>
      </c>
      <c r="C83" s="178">
        <f t="shared" si="7"/>
        <v>2.7300000000000035</v>
      </c>
      <c r="D83" s="178">
        <f t="shared" si="8"/>
        <v>9.0000000000000052E-2</v>
      </c>
      <c r="E83" s="178">
        <f t="shared" si="9"/>
        <v>0.24666666666666698</v>
      </c>
      <c r="F83" s="178">
        <f t="shared" si="10"/>
        <v>6211.0000000000036</v>
      </c>
      <c r="G83" s="178">
        <f t="shared" si="11"/>
        <v>0.50666666666666638</v>
      </c>
      <c r="H83" s="178">
        <f t="shared" si="12"/>
        <v>1.0399999999999987</v>
      </c>
      <c r="I83" s="156">
        <f>SUM(Table2B.2_AQ_PA[[#This Row],[NOX]:[VOC]])</f>
        <v>6215.6133333333373</v>
      </c>
    </row>
    <row r="84" spans="2:9">
      <c r="B84" s="135">
        <f>First_Year+'Appendix B. Project Info'!B46</f>
        <v>2049</v>
      </c>
      <c r="C84" s="178">
        <f t="shared" si="7"/>
        <v>2.6680000000000037</v>
      </c>
      <c r="D84" s="178">
        <f t="shared" si="8"/>
        <v>8.9600000000000055E-2</v>
      </c>
      <c r="E84" s="178">
        <f t="shared" si="9"/>
        <v>0.2450000000000003</v>
      </c>
      <c r="F84" s="178">
        <f t="shared" si="10"/>
        <v>6185.8000000000038</v>
      </c>
      <c r="G84" s="178">
        <f t="shared" si="11"/>
        <v>0.46299999999999975</v>
      </c>
      <c r="H84" s="178">
        <f t="shared" si="12"/>
        <v>0.95299999999999874</v>
      </c>
      <c r="I84" s="156">
        <f>SUM(Table2B.2_AQ_PA[[#This Row],[NOX]:[VOC]])</f>
        <v>6190.2186000000038</v>
      </c>
    </row>
    <row r="85" spans="2:9">
      <c r="B85" s="135">
        <f>First_Year+'Appendix B. Project Info'!B47</f>
        <v>2050</v>
      </c>
      <c r="C85" s="178">
        <f t="shared" si="7"/>
        <v>2.6060000000000039</v>
      </c>
      <c r="D85" s="178">
        <f t="shared" si="8"/>
        <v>8.9200000000000057E-2</v>
      </c>
      <c r="E85" s="178">
        <f t="shared" si="9"/>
        <v>0.24333333333333362</v>
      </c>
      <c r="F85" s="178">
        <f t="shared" si="10"/>
        <v>6160.600000000004</v>
      </c>
      <c r="G85" s="178">
        <f t="shared" si="11"/>
        <v>0.41933333333333311</v>
      </c>
      <c r="H85" s="178">
        <f t="shared" si="12"/>
        <v>0.86599999999999877</v>
      </c>
      <c r="I85" s="156">
        <f>SUM(Table2B.2_AQ_PA[[#This Row],[NOX]:[VOC]])</f>
        <v>6164.8238666666703</v>
      </c>
    </row>
    <row r="86" spans="2:9">
      <c r="B86" s="135">
        <f>First_Year+'Appendix B. Project Info'!B48</f>
        <v>2051</v>
      </c>
      <c r="C86" s="178">
        <f t="shared" si="7"/>
        <v>2.544000000000004</v>
      </c>
      <c r="D86" s="178">
        <f t="shared" si="8"/>
        <v>8.8800000000000059E-2</v>
      </c>
      <c r="E86" s="178">
        <f t="shared" si="9"/>
        <v>0.24166666666666695</v>
      </c>
      <c r="F86" s="178">
        <f t="shared" si="10"/>
        <v>6135.4000000000042</v>
      </c>
      <c r="G86" s="178">
        <f t="shared" si="11"/>
        <v>0.37566666666666648</v>
      </c>
      <c r="H86" s="178">
        <f t="shared" si="12"/>
        <v>0.7789999999999988</v>
      </c>
      <c r="I86" s="156">
        <f>SUM(Table2B.2_AQ_PA[[#This Row],[NOX]:[VOC]])</f>
        <v>6139.4291333333385</v>
      </c>
    </row>
    <row r="87" spans="2:9">
      <c r="B87" s="135">
        <f>First_Year+'Appendix B. Project Info'!B49</f>
        <v>2052</v>
      </c>
      <c r="C87" s="178">
        <f t="shared" si="7"/>
        <v>2.4820000000000042</v>
      </c>
      <c r="D87" s="178">
        <f t="shared" si="8"/>
        <v>8.8400000000000062E-2</v>
      </c>
      <c r="E87" s="178">
        <f t="shared" si="9"/>
        <v>0.24000000000000027</v>
      </c>
      <c r="F87" s="178">
        <f t="shared" si="10"/>
        <v>6110.2000000000044</v>
      </c>
      <c r="G87" s="178">
        <f t="shared" si="11"/>
        <v>0.33199999999999985</v>
      </c>
      <c r="H87" s="178">
        <f t="shared" si="12"/>
        <v>0.69199999999999884</v>
      </c>
      <c r="I87" s="156">
        <f>SUM(Table2B.2_AQ_PA[[#This Row],[NOX]:[VOC]])</f>
        <v>6114.034400000005</v>
      </c>
    </row>
    <row r="88" spans="2:9" s="133" customFormat="1">
      <c r="B88" s="135">
        <f>First_Year+'Appendix B. Project Info'!B50</f>
        <v>2053</v>
      </c>
      <c r="C88" s="178">
        <f t="shared" si="7"/>
        <v>2.4200000000000044</v>
      </c>
      <c r="D88" s="178">
        <f t="shared" si="8"/>
        <v>8.8000000000000064E-2</v>
      </c>
      <c r="E88" s="178">
        <f t="shared" si="9"/>
        <v>0.23833333333333359</v>
      </c>
      <c r="F88" s="178">
        <f t="shared" si="10"/>
        <v>6085.0000000000045</v>
      </c>
      <c r="G88" s="178">
        <f t="shared" si="11"/>
        <v>0.28833333333333322</v>
      </c>
      <c r="H88" s="178">
        <f t="shared" si="12"/>
        <v>0.60499999999999887</v>
      </c>
      <c r="I88" s="156">
        <f>SUM(Table2B.2_AQ_PA[[#This Row],[NOX]:[VOC]])</f>
        <v>6088.6396666666706</v>
      </c>
    </row>
    <row r="89" spans="2:9">
      <c r="B89" s="135">
        <f>First_Year+'Appendix B. Project Info'!B51</f>
        <v>2054</v>
      </c>
      <c r="C89" s="178">
        <f t="shared" si="7"/>
        <v>2.3580000000000045</v>
      </c>
      <c r="D89" s="178">
        <f t="shared" si="8"/>
        <v>8.7600000000000067E-2</v>
      </c>
      <c r="E89" s="178">
        <f t="shared" si="9"/>
        <v>0.23666666666666691</v>
      </c>
      <c r="F89" s="178">
        <f t="shared" si="10"/>
        <v>6059.8000000000047</v>
      </c>
      <c r="G89" s="178">
        <f t="shared" si="11"/>
        <v>0.24466666666666656</v>
      </c>
      <c r="H89" s="178">
        <f t="shared" si="12"/>
        <v>0.51799999999999891</v>
      </c>
      <c r="I89" s="156">
        <f>SUM(Table2B.2_AQ_PA[[#This Row],[NOX]:[VOC]])</f>
        <v>6063.2449333333379</v>
      </c>
    </row>
    <row r="90" spans="2:9">
      <c r="B90" s="135">
        <f>First_Year+'Appendix B. Project Info'!B52</f>
        <v>2055</v>
      </c>
      <c r="C90" s="178">
        <f t="shared" si="7"/>
        <v>2.2960000000000047</v>
      </c>
      <c r="D90" s="178">
        <f t="shared" si="8"/>
        <v>8.7200000000000069E-2</v>
      </c>
      <c r="E90" s="178">
        <f t="shared" si="9"/>
        <v>0.23500000000000024</v>
      </c>
      <c r="F90" s="178">
        <f t="shared" si="10"/>
        <v>6034.6000000000049</v>
      </c>
      <c r="G90" s="178">
        <f t="shared" si="11"/>
        <v>0.2009999999999999</v>
      </c>
      <c r="H90" s="178">
        <f t="shared" si="12"/>
        <v>0.43099999999999894</v>
      </c>
      <c r="I90" s="156">
        <f>SUM(Table2B.2_AQ_PA[[#This Row],[NOX]:[VOC]])</f>
        <v>6037.8502000000044</v>
      </c>
    </row>
    <row r="91" spans="2:9">
      <c r="B91" s="135">
        <f>First_Year+'Appendix B. Project Info'!B53</f>
        <v>2056</v>
      </c>
      <c r="C91" s="178">
        <f t="shared" si="7"/>
        <v>2.2340000000000049</v>
      </c>
      <c r="D91" s="178">
        <f t="shared" si="8"/>
        <v>8.6800000000000072E-2</v>
      </c>
      <c r="E91" s="178">
        <f t="shared" si="9"/>
        <v>0.23333333333333356</v>
      </c>
      <c r="F91" s="178">
        <f t="shared" si="10"/>
        <v>6009.4000000000051</v>
      </c>
      <c r="G91" s="178">
        <f t="shared" si="11"/>
        <v>0.15733333333333324</v>
      </c>
      <c r="H91" s="178">
        <f t="shared" si="12"/>
        <v>0.34399999999999897</v>
      </c>
      <c r="I91" s="156">
        <f>SUM(Table2B.2_AQ_PA[[#This Row],[NOX]:[VOC]])</f>
        <v>6012.4554666666718</v>
      </c>
    </row>
    <row r="92" spans="2:9">
      <c r="B92" s="135">
        <f>First_Year+'Appendix B. Project Info'!B54</f>
        <v>2057</v>
      </c>
      <c r="C92" s="178">
        <f t="shared" si="7"/>
        <v>2.172000000000005</v>
      </c>
      <c r="D92" s="178">
        <f t="shared" si="8"/>
        <v>8.6400000000000074E-2</v>
      </c>
      <c r="E92" s="178">
        <f t="shared" si="9"/>
        <v>0.23166666666666688</v>
      </c>
      <c r="F92" s="178">
        <f t="shared" si="10"/>
        <v>5984.2000000000053</v>
      </c>
      <c r="G92" s="178">
        <f t="shared" si="11"/>
        <v>0.11366666666666658</v>
      </c>
      <c r="H92" s="178">
        <f t="shared" si="12"/>
        <v>0.25699999999999901</v>
      </c>
      <c r="I92" s="156">
        <f>SUM(Table2B.2_AQ_PA[[#This Row],[NOX]:[VOC]])</f>
        <v>5987.0607333333382</v>
      </c>
    </row>
    <row r="93" spans="2:9">
      <c r="B93" s="135">
        <f>First_Year+'Appendix B. Project Info'!B55</f>
        <v>2058</v>
      </c>
      <c r="C93" s="205">
        <v>2.11</v>
      </c>
      <c r="D93" s="205">
        <v>8.5999999999999993E-2</v>
      </c>
      <c r="E93" s="205">
        <v>0.23</v>
      </c>
      <c r="F93" s="205">
        <v>5959</v>
      </c>
      <c r="G93" s="205">
        <v>7.0000000000000007E-2</v>
      </c>
      <c r="H93" s="205">
        <v>0.17</v>
      </c>
      <c r="I93" s="156">
        <f>SUM(Table2B.2_AQ_PA[[#This Row],[NOX]:[VOC]])</f>
        <v>5961.6660000000002</v>
      </c>
    </row>
    <row r="94" spans="2:9">
      <c r="B94" s="135" t="s">
        <v>26</v>
      </c>
      <c r="C94" s="203">
        <f>SUBTOTAL(109,Table2B.2_AQ_PA[NOX])</f>
        <v>94.240000000000066</v>
      </c>
      <c r="D94" s="203">
        <f>SUBTOTAL(109,Table2B.2_AQ_PA[SOx])</f>
        <v>2.8520000000000012</v>
      </c>
      <c r="E94" s="203">
        <f>SUBTOTAL(109,Table2B.2_AQ_PA[PM2.5])</f>
        <v>7.9050000000000065</v>
      </c>
      <c r="F94" s="203">
        <f>SUBTOTAL(109,Table2B.2_AQ_PA[CO2])</f>
        <v>196447.00000000009</v>
      </c>
      <c r="G94" s="203">
        <f>SUBTOTAL(109,Table2B.2_AQ_PA[PM10])</f>
        <v>22.475000000000001</v>
      </c>
      <c r="H94" s="203">
        <f>SUBTOTAL(109,Table2B.2_AQ_PA[VOC])</f>
        <v>45.724999999999966</v>
      </c>
      <c r="I94" s="204">
        <f>SUBTOTAL(109,Table2B.2_AQ_PA[Total])</f>
        <v>196620.19700000007</v>
      </c>
    </row>
    <row r="96" spans="2:9">
      <c r="B96" s="63" t="s">
        <v>142</v>
      </c>
    </row>
    <row r="98" spans="2:9">
      <c r="B98" s="134" t="s">
        <v>19</v>
      </c>
      <c r="C98" s="146" t="s">
        <v>130</v>
      </c>
      <c r="D98" s="146" t="s">
        <v>122</v>
      </c>
      <c r="E98" s="146" t="s">
        <v>131</v>
      </c>
      <c r="F98" s="146" t="s">
        <v>132</v>
      </c>
      <c r="G98" s="146" t="s">
        <v>133</v>
      </c>
      <c r="H98" s="146" t="s">
        <v>126</v>
      </c>
      <c r="I98" s="146" t="s">
        <v>26</v>
      </c>
    </row>
    <row r="99" spans="2:9">
      <c r="B99" s="135">
        <f>First_Year+'Appendix B. Project Info'!B20</f>
        <v>2023</v>
      </c>
      <c r="C99" s="156">
        <f t="shared" ref="C99:H104" si="13">C17-C58</f>
        <v>0</v>
      </c>
      <c r="D99" s="156">
        <f t="shared" si="13"/>
        <v>0</v>
      </c>
      <c r="E99" s="156">
        <f t="shared" si="13"/>
        <v>0</v>
      </c>
      <c r="F99" s="156">
        <f t="shared" si="13"/>
        <v>0</v>
      </c>
      <c r="G99" s="156">
        <f t="shared" si="13"/>
        <v>0</v>
      </c>
      <c r="H99" s="156">
        <f t="shared" si="13"/>
        <v>0</v>
      </c>
      <c r="I99" s="156">
        <f>SUM(Table2B.3_AQ_Dif[[#This Row],[NOX]:[VOC]])</f>
        <v>0</v>
      </c>
    </row>
    <row r="100" spans="2:9">
      <c r="B100" s="135">
        <f>First_Year+'Appendix B. Project Info'!B21</f>
        <v>2024</v>
      </c>
      <c r="C100" s="156">
        <f t="shared" si="13"/>
        <v>0</v>
      </c>
      <c r="D100" s="156">
        <f t="shared" ref="D100:H100" si="14">D18-D59</f>
        <v>0</v>
      </c>
      <c r="E100" s="156">
        <f t="shared" si="14"/>
        <v>0</v>
      </c>
      <c r="F100" s="156">
        <f t="shared" si="14"/>
        <v>0</v>
      </c>
      <c r="G100" s="156">
        <f t="shared" si="14"/>
        <v>0</v>
      </c>
      <c r="H100" s="156">
        <f t="shared" si="14"/>
        <v>0</v>
      </c>
      <c r="I100" s="156">
        <f>SUM(Table2B.3_AQ_Dif[[#This Row],[NOX]:[VOC]])</f>
        <v>0</v>
      </c>
    </row>
    <row r="101" spans="2:9">
      <c r="B101" s="135">
        <f>First_Year+'Appendix B. Project Info'!B22</f>
        <v>2025</v>
      </c>
      <c r="C101" s="156">
        <f t="shared" si="13"/>
        <v>0</v>
      </c>
      <c r="D101" s="156">
        <f t="shared" ref="D101:H101" si="15">D19-D60</f>
        <v>0</v>
      </c>
      <c r="E101" s="156">
        <f t="shared" si="15"/>
        <v>0</v>
      </c>
      <c r="F101" s="156">
        <f t="shared" si="15"/>
        <v>0</v>
      </c>
      <c r="G101" s="156">
        <f t="shared" si="15"/>
        <v>0</v>
      </c>
      <c r="H101" s="156">
        <f t="shared" si="15"/>
        <v>0</v>
      </c>
      <c r="I101" s="156">
        <f>SUM(Table2B.3_AQ_Dif[[#This Row],[NOX]:[VOC]])</f>
        <v>0</v>
      </c>
    </row>
    <row r="102" spans="2:9">
      <c r="B102" s="135">
        <f>First_Year+'Appendix B. Project Info'!B23</f>
        <v>2026</v>
      </c>
      <c r="C102" s="156">
        <f t="shared" si="13"/>
        <v>0</v>
      </c>
      <c r="D102" s="156">
        <f t="shared" ref="D102:H102" si="16">D20-D61</f>
        <v>0</v>
      </c>
      <c r="E102" s="156">
        <f t="shared" si="16"/>
        <v>0</v>
      </c>
      <c r="F102" s="156">
        <f t="shared" si="16"/>
        <v>0</v>
      </c>
      <c r="G102" s="156">
        <f t="shared" si="16"/>
        <v>0</v>
      </c>
      <c r="H102" s="156">
        <f t="shared" si="16"/>
        <v>0</v>
      </c>
      <c r="I102" s="156">
        <f>SUM(Table2B.3_AQ_Dif[[#This Row],[NOX]:[VOC]])</f>
        <v>0</v>
      </c>
    </row>
    <row r="103" spans="2:9">
      <c r="B103" s="135">
        <f>First_Year+'Appendix B. Project Info'!B24</f>
        <v>2027</v>
      </c>
      <c r="C103" s="156">
        <f t="shared" si="13"/>
        <v>0</v>
      </c>
      <c r="D103" s="156">
        <f t="shared" ref="D103:H103" si="17">D21-D62</f>
        <v>0</v>
      </c>
      <c r="E103" s="156">
        <f t="shared" si="17"/>
        <v>0</v>
      </c>
      <c r="F103" s="156">
        <f t="shared" si="17"/>
        <v>0</v>
      </c>
      <c r="G103" s="156">
        <f t="shared" si="17"/>
        <v>0</v>
      </c>
      <c r="H103" s="156">
        <f t="shared" si="17"/>
        <v>0</v>
      </c>
      <c r="I103" s="156">
        <f>SUM(Table2B.3_AQ_Dif[[#This Row],[NOX]:[VOC]])</f>
        <v>0</v>
      </c>
    </row>
    <row r="104" spans="2:9">
      <c r="B104" s="135">
        <f>First_Year+'Appendix B. Project Info'!B25</f>
        <v>2028</v>
      </c>
      <c r="C104" s="156">
        <f t="shared" si="13"/>
        <v>0.18000000000000016</v>
      </c>
      <c r="D104" s="156">
        <f t="shared" ref="D104:H104" si="18">D22-D63</f>
        <v>3.0000000000000027E-3</v>
      </c>
      <c r="E104" s="156">
        <f t="shared" si="18"/>
        <v>0</v>
      </c>
      <c r="F104" s="156">
        <f t="shared" si="18"/>
        <v>224</v>
      </c>
      <c r="G104" s="156">
        <f t="shared" si="18"/>
        <v>-0.10999999999999988</v>
      </c>
      <c r="H104" s="156">
        <f t="shared" si="18"/>
        <v>0.12000000000000011</v>
      </c>
      <c r="I104" s="156">
        <f>SUM(Table2B.3_AQ_Dif[[#This Row],[NOX]:[VOC]])</f>
        <v>224.19299999999998</v>
      </c>
    </row>
    <row r="105" spans="2:9">
      <c r="B105" s="135">
        <f>First_Year+'Appendix B. Project Info'!B26</f>
        <v>2029</v>
      </c>
      <c r="C105" s="156">
        <f t="shared" ref="C105:H105" si="19">C23-C64</f>
        <v>0.17933333333333312</v>
      </c>
      <c r="D105" s="156">
        <f t="shared" si="19"/>
        <v>3.1666666666666649E-3</v>
      </c>
      <c r="E105" s="156">
        <f t="shared" si="19"/>
        <v>3.3333333333329662E-4</v>
      </c>
      <c r="F105" s="156">
        <f t="shared" si="19"/>
        <v>233.03333333333285</v>
      </c>
      <c r="G105" s="156">
        <f t="shared" si="19"/>
        <v>-5.8999999999999719E-2</v>
      </c>
      <c r="H105" s="156">
        <f t="shared" si="19"/>
        <v>0.18300000000000027</v>
      </c>
      <c r="I105" s="156">
        <f>SUM(Table2B.3_AQ_Dif[[#This Row],[NOX]:[VOC]])</f>
        <v>233.34016666666616</v>
      </c>
    </row>
    <row r="106" spans="2:9">
      <c r="B106" s="135">
        <f>First_Year+'Appendix B. Project Info'!B27</f>
        <v>2030</v>
      </c>
      <c r="C106" s="156">
        <f t="shared" ref="C106:H106" si="20">C24-C65</f>
        <v>0.17866666666666609</v>
      </c>
      <c r="D106" s="156">
        <f t="shared" si="20"/>
        <v>3.333333333333327E-3</v>
      </c>
      <c r="E106" s="156">
        <f t="shared" si="20"/>
        <v>6.6666666666659324E-4</v>
      </c>
      <c r="F106" s="156">
        <f t="shared" si="20"/>
        <v>242.0666666666657</v>
      </c>
      <c r="G106" s="156">
        <f t="shared" si="20"/>
        <v>-7.999999999999563E-3</v>
      </c>
      <c r="H106" s="156">
        <f t="shared" si="20"/>
        <v>0.24600000000000044</v>
      </c>
      <c r="I106" s="156">
        <f>SUM(Table2B.3_AQ_Dif[[#This Row],[NOX]:[VOC]])</f>
        <v>242.48733333333237</v>
      </c>
    </row>
    <row r="107" spans="2:9">
      <c r="B107" s="135">
        <f>First_Year+'Appendix B. Project Info'!B28</f>
        <v>2031</v>
      </c>
      <c r="C107" s="156">
        <f t="shared" ref="C107:H107" si="21">C25-C66</f>
        <v>0.17799999999999905</v>
      </c>
      <c r="D107" s="156">
        <f t="shared" si="21"/>
        <v>3.4999999999999892E-3</v>
      </c>
      <c r="E107" s="156">
        <f t="shared" si="21"/>
        <v>9.9999999999988987E-4</v>
      </c>
      <c r="F107" s="156">
        <f t="shared" si="21"/>
        <v>251.09999999999854</v>
      </c>
      <c r="G107" s="156">
        <f t="shared" si="21"/>
        <v>4.3000000000000593E-2</v>
      </c>
      <c r="H107" s="156">
        <f t="shared" si="21"/>
        <v>0.30900000000000061</v>
      </c>
      <c r="I107" s="156">
        <f>SUM(Table2B.3_AQ_Dif[[#This Row],[NOX]:[VOC]])</f>
        <v>251.63449999999855</v>
      </c>
    </row>
    <row r="108" spans="2:9">
      <c r="B108" s="135">
        <f>First_Year+'Appendix B. Project Info'!B29</f>
        <v>2032</v>
      </c>
      <c r="C108" s="156">
        <f t="shared" ref="C108:H108" si="22">C26-C67</f>
        <v>0.17733333333333201</v>
      </c>
      <c r="D108" s="156">
        <f t="shared" si="22"/>
        <v>3.6666666666666514E-3</v>
      </c>
      <c r="E108" s="156">
        <f t="shared" si="22"/>
        <v>1.3333333333331865E-3</v>
      </c>
      <c r="F108" s="156">
        <f t="shared" si="22"/>
        <v>260.13333333333139</v>
      </c>
      <c r="G108" s="156">
        <f t="shared" si="22"/>
        <v>9.400000000000075E-2</v>
      </c>
      <c r="H108" s="156">
        <f t="shared" si="22"/>
        <v>0.37200000000000077</v>
      </c>
      <c r="I108" s="156">
        <f>SUM(Table2B.3_AQ_Dif[[#This Row],[NOX]:[VOC]])</f>
        <v>260.78166666666471</v>
      </c>
    </row>
    <row r="109" spans="2:9">
      <c r="B109" s="135">
        <f>First_Year+'Appendix B. Project Info'!B30</f>
        <v>2033</v>
      </c>
      <c r="C109" s="156">
        <f t="shared" ref="C109:H109" si="23">C27-C68</f>
        <v>0.17666666666666497</v>
      </c>
      <c r="D109" s="156">
        <f t="shared" si="23"/>
        <v>3.8333333333333136E-3</v>
      </c>
      <c r="E109" s="156">
        <f t="shared" si="23"/>
        <v>1.6666666666664831E-3</v>
      </c>
      <c r="F109" s="156">
        <f t="shared" si="23"/>
        <v>269.16666666666424</v>
      </c>
      <c r="G109" s="156">
        <f t="shared" si="23"/>
        <v>0.14500000000000091</v>
      </c>
      <c r="H109" s="156">
        <f t="shared" si="23"/>
        <v>0.43500000000000094</v>
      </c>
      <c r="I109" s="156">
        <f>SUM(Table2B.3_AQ_Dif[[#This Row],[NOX]:[VOC]])</f>
        <v>269.92883333333089</v>
      </c>
    </row>
    <row r="110" spans="2:9">
      <c r="B110" s="135">
        <f>First_Year+'Appendix B. Project Info'!B31</f>
        <v>2034</v>
      </c>
      <c r="C110" s="156">
        <f t="shared" ref="C110:H110" si="24">C28-C69</f>
        <v>0.17599999999999794</v>
      </c>
      <c r="D110" s="156">
        <f t="shared" si="24"/>
        <v>3.9999999999999758E-3</v>
      </c>
      <c r="E110" s="156">
        <f t="shared" si="24"/>
        <v>1.9999999999997797E-3</v>
      </c>
      <c r="F110" s="156">
        <f t="shared" si="24"/>
        <v>278.19999999999709</v>
      </c>
      <c r="G110" s="156">
        <f t="shared" si="24"/>
        <v>0.19600000000000106</v>
      </c>
      <c r="H110" s="156">
        <f t="shared" si="24"/>
        <v>0.49800000000000111</v>
      </c>
      <c r="I110" s="156">
        <f>SUM(Table2B.3_AQ_Dif[[#This Row],[NOX]:[VOC]])</f>
        <v>279.07599999999712</v>
      </c>
    </row>
    <row r="111" spans="2:9">
      <c r="B111" s="135">
        <f>First_Year+'Appendix B. Project Info'!B32</f>
        <v>2035</v>
      </c>
      <c r="C111" s="156">
        <f t="shared" ref="C111:H111" si="25">C29-C70</f>
        <v>0.1753333333333309</v>
      </c>
      <c r="D111" s="156">
        <f t="shared" si="25"/>
        <v>4.166666666666638E-3</v>
      </c>
      <c r="E111" s="156">
        <f t="shared" si="25"/>
        <v>2.3333333333330764E-3</v>
      </c>
      <c r="F111" s="156">
        <f t="shared" si="25"/>
        <v>287.23333333332994</v>
      </c>
      <c r="G111" s="156">
        <f t="shared" si="25"/>
        <v>0.24700000000000122</v>
      </c>
      <c r="H111" s="156">
        <f t="shared" si="25"/>
        <v>0.56100000000000128</v>
      </c>
      <c r="I111" s="156">
        <f>SUM(Table2B.3_AQ_Dif[[#This Row],[NOX]:[VOC]])</f>
        <v>288.22316666666325</v>
      </c>
    </row>
    <row r="112" spans="2:9">
      <c r="B112" s="135">
        <f>First_Year+'Appendix B. Project Info'!B33</f>
        <v>2036</v>
      </c>
      <c r="C112" s="156">
        <f t="shared" ref="C112:H112" si="26">C30-C71</f>
        <v>0.17466666666666386</v>
      </c>
      <c r="D112" s="156">
        <f t="shared" si="26"/>
        <v>4.3333333333333002E-3</v>
      </c>
      <c r="E112" s="156">
        <f t="shared" si="26"/>
        <v>2.666666666666373E-3</v>
      </c>
      <c r="F112" s="156">
        <f t="shared" si="26"/>
        <v>296.26666666666279</v>
      </c>
      <c r="G112" s="156">
        <f t="shared" si="26"/>
        <v>0.29800000000000137</v>
      </c>
      <c r="H112" s="156">
        <f t="shared" si="26"/>
        <v>0.62400000000000144</v>
      </c>
      <c r="I112" s="156">
        <f>SUM(Table2B.3_AQ_Dif[[#This Row],[NOX]:[VOC]])</f>
        <v>297.37033333332948</v>
      </c>
    </row>
    <row r="113" spans="2:9">
      <c r="B113" s="135">
        <f>First_Year+'Appendix B. Project Info'!B34</f>
        <v>2037</v>
      </c>
      <c r="C113" s="156">
        <f t="shared" ref="C113:H113" si="27">C31-C72</f>
        <v>0.17399999999999682</v>
      </c>
      <c r="D113" s="156">
        <f t="shared" si="27"/>
        <v>4.4999999999999624E-3</v>
      </c>
      <c r="E113" s="156">
        <f t="shared" si="27"/>
        <v>2.9999999999996696E-3</v>
      </c>
      <c r="F113" s="156">
        <f t="shared" si="27"/>
        <v>305.29999999999563</v>
      </c>
      <c r="G113" s="156">
        <f t="shared" si="27"/>
        <v>0.34900000000000142</v>
      </c>
      <c r="H113" s="156">
        <f t="shared" si="27"/>
        <v>0.68700000000000139</v>
      </c>
      <c r="I113" s="156">
        <f>SUM(Table2B.3_AQ_Dif[[#This Row],[NOX]:[VOC]])</f>
        <v>306.51749999999561</v>
      </c>
    </row>
    <row r="114" spans="2:9">
      <c r="B114" s="135">
        <f>First_Year+'Appendix B. Project Info'!B35</f>
        <v>2038</v>
      </c>
      <c r="C114" s="156">
        <f t="shared" ref="C114:H114" si="28">C32-C73</f>
        <v>0.17333333333332979</v>
      </c>
      <c r="D114" s="156">
        <f t="shared" si="28"/>
        <v>4.6666666666666246E-3</v>
      </c>
      <c r="E114" s="156">
        <f t="shared" si="28"/>
        <v>3.3333333333329662E-3</v>
      </c>
      <c r="F114" s="156">
        <f t="shared" si="28"/>
        <v>314.33333333332848</v>
      </c>
      <c r="G114" s="156">
        <f t="shared" si="28"/>
        <v>0.40000000000000147</v>
      </c>
      <c r="H114" s="156">
        <f t="shared" si="28"/>
        <v>0.75000000000000133</v>
      </c>
      <c r="I114" s="156">
        <f>SUM(Table2B.3_AQ_Dif[[#This Row],[NOX]:[VOC]])</f>
        <v>315.66466666666179</v>
      </c>
    </row>
    <row r="115" spans="2:9">
      <c r="B115" s="135">
        <f>First_Year+'Appendix B. Project Info'!B36</f>
        <v>2039</v>
      </c>
      <c r="C115" s="156">
        <f t="shared" ref="C115:H115" si="29">C33-C74</f>
        <v>0.17266666666666275</v>
      </c>
      <c r="D115" s="156">
        <f t="shared" si="29"/>
        <v>4.8333333333332867E-3</v>
      </c>
      <c r="E115" s="156">
        <f t="shared" si="29"/>
        <v>3.6666666666662628E-3</v>
      </c>
      <c r="F115" s="156">
        <f t="shared" si="29"/>
        <v>323.36666666666133</v>
      </c>
      <c r="G115" s="156">
        <f t="shared" si="29"/>
        <v>0.45100000000000151</v>
      </c>
      <c r="H115" s="156">
        <f t="shared" si="29"/>
        <v>0.81300000000000128</v>
      </c>
      <c r="I115" s="156">
        <f>SUM(Table2B.3_AQ_Dif[[#This Row],[NOX]:[VOC]])</f>
        <v>324.81183333332802</v>
      </c>
    </row>
    <row r="116" spans="2:9">
      <c r="B116" s="135">
        <f>First_Year+'Appendix B. Project Info'!B37</f>
        <v>2040</v>
      </c>
      <c r="C116" s="156">
        <f t="shared" ref="C116:H116" si="30">C34-C75</f>
        <v>0.17199999999999571</v>
      </c>
      <c r="D116" s="156">
        <f t="shared" si="30"/>
        <v>4.9999999999999489E-3</v>
      </c>
      <c r="E116" s="156">
        <f t="shared" si="30"/>
        <v>3.9999999999995595E-3</v>
      </c>
      <c r="F116" s="156">
        <f t="shared" si="30"/>
        <v>332.39999999999418</v>
      </c>
      <c r="G116" s="156">
        <f t="shared" si="30"/>
        <v>0.50200000000000156</v>
      </c>
      <c r="H116" s="156">
        <f t="shared" si="30"/>
        <v>0.87600000000000122</v>
      </c>
      <c r="I116" s="156">
        <f>SUM(Table2B.3_AQ_Dif[[#This Row],[NOX]:[VOC]])</f>
        <v>333.95899999999415</v>
      </c>
    </row>
    <row r="117" spans="2:9">
      <c r="B117" s="135">
        <f>First_Year+'Appendix B. Project Info'!B38</f>
        <v>2041</v>
      </c>
      <c r="C117" s="156">
        <f t="shared" ref="C117:H117" si="31">C35-C76</f>
        <v>0.17133333333332867</v>
      </c>
      <c r="D117" s="156">
        <f t="shared" si="31"/>
        <v>5.1666666666666111E-3</v>
      </c>
      <c r="E117" s="156">
        <f t="shared" si="31"/>
        <v>4.3333333333328561E-3</v>
      </c>
      <c r="F117" s="156">
        <f t="shared" si="31"/>
        <v>341.43333333332703</v>
      </c>
      <c r="G117" s="156">
        <f t="shared" si="31"/>
        <v>0.5530000000000016</v>
      </c>
      <c r="H117" s="156">
        <f t="shared" si="31"/>
        <v>0.93900000000000117</v>
      </c>
      <c r="I117" s="156">
        <f>SUM(Table2B.3_AQ_Dif[[#This Row],[NOX]:[VOC]])</f>
        <v>343.10616666666039</v>
      </c>
    </row>
    <row r="118" spans="2:9">
      <c r="B118" s="135">
        <f>First_Year+'Appendix B. Project Info'!B39</f>
        <v>2042</v>
      </c>
      <c r="C118" s="156">
        <f t="shared" ref="C118:H118" si="32">C36-C77</f>
        <v>0.17066666666666164</v>
      </c>
      <c r="D118" s="156">
        <f t="shared" si="32"/>
        <v>5.3333333333332733E-3</v>
      </c>
      <c r="E118" s="156">
        <f t="shared" si="32"/>
        <v>4.6666666666661527E-3</v>
      </c>
      <c r="F118" s="156">
        <f t="shared" si="32"/>
        <v>350.46666666665988</v>
      </c>
      <c r="G118" s="156">
        <f t="shared" si="32"/>
        <v>0.60400000000000165</v>
      </c>
      <c r="H118" s="156">
        <f t="shared" si="32"/>
        <v>1.0020000000000011</v>
      </c>
      <c r="I118" s="156">
        <f>SUM(Table2B.3_AQ_Dif[[#This Row],[NOX]:[VOC]])</f>
        <v>352.25333333332651</v>
      </c>
    </row>
    <row r="119" spans="2:9">
      <c r="B119" s="135">
        <f>First_Year+'Appendix B. Project Info'!B40</f>
        <v>2043</v>
      </c>
      <c r="C119" s="156">
        <f t="shared" ref="C119:H119" si="33">C37-C78</f>
        <v>0.1699999999999946</v>
      </c>
      <c r="D119" s="156">
        <f t="shared" si="33"/>
        <v>5.4999999999999355E-3</v>
      </c>
      <c r="E119" s="156">
        <f t="shared" si="33"/>
        <v>4.9999999999994493E-3</v>
      </c>
      <c r="F119" s="156">
        <f t="shared" si="33"/>
        <v>359.49999999999272</v>
      </c>
      <c r="G119" s="156">
        <f t="shared" si="33"/>
        <v>0.65500000000000169</v>
      </c>
      <c r="H119" s="156">
        <f t="shared" si="33"/>
        <v>1.0650000000000011</v>
      </c>
      <c r="I119" s="156">
        <f>SUM(Table2B.3_AQ_Dif[[#This Row],[NOX]:[VOC]])</f>
        <v>361.40049999999275</v>
      </c>
    </row>
    <row r="120" spans="2:9">
      <c r="B120" s="135">
        <f>First_Year+'Appendix B. Project Info'!B41</f>
        <v>2044</v>
      </c>
      <c r="C120" s="156">
        <f t="shared" ref="C120:H120" si="34">C38-C79</f>
        <v>0.16933333333332756</v>
      </c>
      <c r="D120" s="156">
        <f t="shared" si="34"/>
        <v>5.6666666666665977E-3</v>
      </c>
      <c r="E120" s="156">
        <f t="shared" si="34"/>
        <v>5.333333333332746E-3</v>
      </c>
      <c r="F120" s="156">
        <f t="shared" si="34"/>
        <v>368.53333333332557</v>
      </c>
      <c r="G120" s="156">
        <f t="shared" si="34"/>
        <v>0.70600000000000174</v>
      </c>
      <c r="H120" s="156">
        <f t="shared" si="34"/>
        <v>1.128000000000001</v>
      </c>
      <c r="I120" s="156">
        <f>SUM(Table2B.3_AQ_Dif[[#This Row],[NOX]:[VOC]])</f>
        <v>370.54766666665893</v>
      </c>
    </row>
    <row r="121" spans="2:9">
      <c r="B121" s="135">
        <f>First_Year+'Appendix B. Project Info'!B42</f>
        <v>2045</v>
      </c>
      <c r="C121" s="156">
        <f t="shared" ref="C121:H121" si="35">C39-C80</f>
        <v>0.16866666666666053</v>
      </c>
      <c r="D121" s="156">
        <f t="shared" si="35"/>
        <v>5.8333333333332599E-3</v>
      </c>
      <c r="E121" s="156">
        <f t="shared" si="35"/>
        <v>5.6666666666660426E-3</v>
      </c>
      <c r="F121" s="156">
        <f t="shared" si="35"/>
        <v>377.56666666665842</v>
      </c>
      <c r="G121" s="156">
        <f t="shared" si="35"/>
        <v>0.75700000000000178</v>
      </c>
      <c r="H121" s="156">
        <f t="shared" si="35"/>
        <v>1.1910000000000009</v>
      </c>
      <c r="I121" s="156">
        <f>SUM(Table2B.3_AQ_Dif[[#This Row],[NOX]:[VOC]])</f>
        <v>379.69483333332505</v>
      </c>
    </row>
    <row r="122" spans="2:9">
      <c r="B122" s="135">
        <f>First_Year+'Appendix B. Project Info'!B43</f>
        <v>2046</v>
      </c>
      <c r="C122" s="156">
        <f t="shared" ref="C122:H122" si="36">C40-C81</f>
        <v>0.16799999999999349</v>
      </c>
      <c r="D122" s="156">
        <f t="shared" si="36"/>
        <v>5.9999999999999221E-3</v>
      </c>
      <c r="E122" s="156">
        <f t="shared" si="36"/>
        <v>5.9999999999993392E-3</v>
      </c>
      <c r="F122" s="156">
        <f t="shared" si="36"/>
        <v>386.59999999999127</v>
      </c>
      <c r="G122" s="156">
        <f t="shared" si="36"/>
        <v>0.80800000000000183</v>
      </c>
      <c r="H122" s="156">
        <f t="shared" si="36"/>
        <v>1.2540000000000009</v>
      </c>
      <c r="I122" s="156">
        <f>SUM(Table2B.3_AQ_Dif[[#This Row],[NOX]:[VOC]])</f>
        <v>388.84199999999129</v>
      </c>
    </row>
    <row r="123" spans="2:9">
      <c r="B123" s="135">
        <f>First_Year+'Appendix B. Project Info'!B44</f>
        <v>2047</v>
      </c>
      <c r="C123" s="156">
        <f t="shared" ref="C123:H123" si="37">C41-C82</f>
        <v>0.16733333333332645</v>
      </c>
      <c r="D123" s="156">
        <f t="shared" si="37"/>
        <v>6.1666666666665843E-3</v>
      </c>
      <c r="E123" s="156">
        <f t="shared" si="37"/>
        <v>6.3333333333326636E-3</v>
      </c>
      <c r="F123" s="156">
        <f t="shared" si="37"/>
        <v>395.63333333332412</v>
      </c>
      <c r="G123" s="156">
        <f t="shared" si="37"/>
        <v>0.85900000000000187</v>
      </c>
      <c r="H123" s="156">
        <f t="shared" si="37"/>
        <v>1.3170000000000008</v>
      </c>
      <c r="I123" s="156">
        <f>SUM(Table2B.3_AQ_Dif[[#This Row],[NOX]:[VOC]])</f>
        <v>397.98916666665741</v>
      </c>
    </row>
    <row r="124" spans="2:9">
      <c r="B124" s="135">
        <f>First_Year+'Appendix B. Project Info'!B45</f>
        <v>2048</v>
      </c>
      <c r="C124" s="156">
        <f t="shared" ref="C124:H124" si="38">C42-C83</f>
        <v>0.16666666666665941</v>
      </c>
      <c r="D124" s="156">
        <f t="shared" si="38"/>
        <v>6.3333333333332464E-3</v>
      </c>
      <c r="E124" s="156">
        <f t="shared" si="38"/>
        <v>6.666666666665988E-3</v>
      </c>
      <c r="F124" s="156">
        <f t="shared" si="38"/>
        <v>404.66666666665697</v>
      </c>
      <c r="G124" s="156">
        <f t="shared" si="38"/>
        <v>0.91000000000000192</v>
      </c>
      <c r="H124" s="156">
        <f t="shared" si="38"/>
        <v>1.3800000000000008</v>
      </c>
      <c r="I124" s="156">
        <f>SUM(Table2B.3_AQ_Dif[[#This Row],[NOX]:[VOC]])</f>
        <v>407.13633333332365</v>
      </c>
    </row>
    <row r="125" spans="2:9">
      <c r="B125" s="135">
        <f>First_Year+'Appendix B. Project Info'!B46</f>
        <v>2049</v>
      </c>
      <c r="C125" s="156">
        <f t="shared" ref="C125:H125" si="39">C43-C84</f>
        <v>0.16599999999999238</v>
      </c>
      <c r="D125" s="156">
        <f t="shared" si="39"/>
        <v>6.4999999999999086E-3</v>
      </c>
      <c r="E125" s="156">
        <f t="shared" si="39"/>
        <v>6.9999999999993123E-3</v>
      </c>
      <c r="F125" s="156">
        <f t="shared" si="39"/>
        <v>413.69999999998981</v>
      </c>
      <c r="G125" s="156">
        <f t="shared" si="39"/>
        <v>0.96100000000000196</v>
      </c>
      <c r="H125" s="156">
        <f t="shared" si="39"/>
        <v>1.4430000000000007</v>
      </c>
      <c r="I125" s="156">
        <f>SUM(Table2B.3_AQ_Dif[[#This Row],[NOX]:[VOC]])</f>
        <v>416.28349999998983</v>
      </c>
    </row>
    <row r="126" spans="2:9">
      <c r="B126" s="135">
        <f>First_Year+'Appendix B. Project Info'!B47</f>
        <v>2050</v>
      </c>
      <c r="C126" s="156">
        <f t="shared" ref="C126:H126" si="40">C44-C85</f>
        <v>0.16533333333332534</v>
      </c>
      <c r="D126" s="156">
        <f t="shared" si="40"/>
        <v>6.6666666666665708E-3</v>
      </c>
      <c r="E126" s="156">
        <f t="shared" si="40"/>
        <v>7.3333333333326367E-3</v>
      </c>
      <c r="F126" s="156">
        <f t="shared" si="40"/>
        <v>422.73333333332266</v>
      </c>
      <c r="G126" s="156">
        <f t="shared" si="40"/>
        <v>1.012000000000002</v>
      </c>
      <c r="H126" s="156">
        <f t="shared" si="40"/>
        <v>1.5060000000000007</v>
      </c>
      <c r="I126" s="156">
        <f>SUM(Table2B.3_AQ_Dif[[#This Row],[NOX]:[VOC]])</f>
        <v>425.43066666665601</v>
      </c>
    </row>
    <row r="127" spans="2:9">
      <c r="B127" s="135">
        <f>First_Year+'Appendix B. Project Info'!B48</f>
        <v>2051</v>
      </c>
      <c r="C127" s="156">
        <f t="shared" ref="C127:H127" si="41">C45-C86</f>
        <v>0.1646666666666583</v>
      </c>
      <c r="D127" s="156">
        <f t="shared" si="41"/>
        <v>6.833333333333233E-3</v>
      </c>
      <c r="E127" s="156">
        <f t="shared" si="41"/>
        <v>7.6666666666659888E-3</v>
      </c>
      <c r="F127" s="156">
        <f t="shared" si="41"/>
        <v>431.76666666665551</v>
      </c>
      <c r="G127" s="156">
        <f t="shared" si="41"/>
        <v>1.0630000000000019</v>
      </c>
      <c r="H127" s="156">
        <f t="shared" si="41"/>
        <v>1.5690000000000006</v>
      </c>
      <c r="I127" s="156">
        <f>SUM(Table2B.3_AQ_Dif[[#This Row],[NOX]:[VOC]])</f>
        <v>434.57783333332219</v>
      </c>
    </row>
    <row r="128" spans="2:9">
      <c r="B128" s="135">
        <f>First_Year+'Appendix B. Project Info'!B49</f>
        <v>2052</v>
      </c>
      <c r="C128" s="156">
        <f t="shared" ref="C128:H128" si="42">C46-C87</f>
        <v>0.16399999999999126</v>
      </c>
      <c r="D128" s="156">
        <f t="shared" si="42"/>
        <v>6.9999999999998952E-3</v>
      </c>
      <c r="E128" s="156">
        <f t="shared" si="42"/>
        <v>7.999999999999341E-3</v>
      </c>
      <c r="F128" s="156">
        <f t="shared" si="42"/>
        <v>440.79999999998836</v>
      </c>
      <c r="G128" s="156">
        <f t="shared" si="42"/>
        <v>1.1140000000000021</v>
      </c>
      <c r="H128" s="156">
        <f t="shared" si="42"/>
        <v>1.6320000000000006</v>
      </c>
      <c r="I128" s="156">
        <f>SUM(Table2B.3_AQ_Dif[[#This Row],[NOX]:[VOC]])</f>
        <v>443.72499999998831</v>
      </c>
    </row>
    <row r="129" spans="2:9">
      <c r="B129" s="135">
        <f>First_Year+'Appendix B. Project Info'!B50</f>
        <v>2053</v>
      </c>
      <c r="C129" s="156">
        <f t="shared" ref="C129:H129" si="43">C47-C88</f>
        <v>0.16333333333332423</v>
      </c>
      <c r="D129" s="156">
        <f t="shared" si="43"/>
        <v>7.1666666666665574E-3</v>
      </c>
      <c r="E129" s="156">
        <f t="shared" si="43"/>
        <v>8.3333333333326931E-3</v>
      </c>
      <c r="F129" s="156">
        <f t="shared" si="43"/>
        <v>449.83333333332121</v>
      </c>
      <c r="G129" s="156">
        <f t="shared" si="43"/>
        <v>1.1650000000000023</v>
      </c>
      <c r="H129" s="156">
        <f t="shared" si="43"/>
        <v>1.6950000000000005</v>
      </c>
      <c r="I129" s="156">
        <f>SUM(Table2B.3_AQ_Dif[[#This Row],[NOX]:[VOC]])</f>
        <v>452.87216666665455</v>
      </c>
    </row>
    <row r="130" spans="2:9">
      <c r="B130" s="135">
        <f>First_Year+'Appendix B. Project Info'!B51</f>
        <v>2054</v>
      </c>
      <c r="C130" s="156">
        <f t="shared" ref="C130:H130" si="44">C48-C89</f>
        <v>0.16266666666665719</v>
      </c>
      <c r="D130" s="156">
        <f t="shared" si="44"/>
        <v>7.3333333333332196E-3</v>
      </c>
      <c r="E130" s="156">
        <f t="shared" si="44"/>
        <v>8.6666666666660452E-3</v>
      </c>
      <c r="F130" s="156">
        <f t="shared" si="44"/>
        <v>458.86666666665406</v>
      </c>
      <c r="G130" s="156">
        <f t="shared" si="44"/>
        <v>1.2160000000000022</v>
      </c>
      <c r="H130" s="156">
        <f t="shared" si="44"/>
        <v>1.7580000000000005</v>
      </c>
      <c r="I130" s="156">
        <f>SUM(Table2B.3_AQ_Dif[[#This Row],[NOX]:[VOC]])</f>
        <v>462.01933333332067</v>
      </c>
    </row>
    <row r="131" spans="2:9">
      <c r="B131" s="135">
        <f>First_Year+'Appendix B. Project Info'!B52</f>
        <v>2055</v>
      </c>
      <c r="C131" s="156">
        <f t="shared" ref="C131:H131" si="45">C49-C90</f>
        <v>0.16199999999999015</v>
      </c>
      <c r="D131" s="156">
        <f t="shared" si="45"/>
        <v>7.4999999999998818E-3</v>
      </c>
      <c r="E131" s="156">
        <f t="shared" si="45"/>
        <v>8.9999999999993974E-3</v>
      </c>
      <c r="F131" s="156">
        <f t="shared" si="45"/>
        <v>467.8999999999869</v>
      </c>
      <c r="G131" s="156">
        <f t="shared" si="45"/>
        <v>1.2670000000000023</v>
      </c>
      <c r="H131" s="156">
        <f t="shared" si="45"/>
        <v>1.8210000000000004</v>
      </c>
      <c r="I131" s="156">
        <f>SUM(Table2B.3_AQ_Dif[[#This Row],[NOX]:[VOC]])</f>
        <v>471.16649999998691</v>
      </c>
    </row>
    <row r="132" spans="2:9">
      <c r="B132" s="135">
        <f>First_Year+'Appendix B. Project Info'!B53</f>
        <v>2056</v>
      </c>
      <c r="C132" s="156">
        <f t="shared" ref="C132:H132" si="46">C50-C91</f>
        <v>0.16133333333332311</v>
      </c>
      <c r="D132" s="156">
        <f t="shared" si="46"/>
        <v>7.666666666666544E-3</v>
      </c>
      <c r="E132" s="156">
        <f t="shared" si="46"/>
        <v>9.3333333333327495E-3</v>
      </c>
      <c r="F132" s="156">
        <f t="shared" si="46"/>
        <v>476.93333333331975</v>
      </c>
      <c r="G132" s="156">
        <f t="shared" si="46"/>
        <v>1.3180000000000023</v>
      </c>
      <c r="H132" s="156">
        <f t="shared" si="46"/>
        <v>1.8840000000000003</v>
      </c>
      <c r="I132" s="156">
        <f>SUM(Table2B.3_AQ_Dif[[#This Row],[NOX]:[VOC]])</f>
        <v>480.31366666665309</v>
      </c>
    </row>
    <row r="133" spans="2:9">
      <c r="B133" s="135">
        <f>First_Year+'Appendix B. Project Info'!B54</f>
        <v>2057</v>
      </c>
      <c r="C133" s="156">
        <f t="shared" ref="C133:H133" si="47">C51-C92</f>
        <v>0.16066666666665608</v>
      </c>
      <c r="D133" s="156">
        <f t="shared" si="47"/>
        <v>7.8333333333332061E-3</v>
      </c>
      <c r="E133" s="156">
        <f t="shared" si="47"/>
        <v>9.6666666666661016E-3</v>
      </c>
      <c r="F133" s="156">
        <f t="shared" si="47"/>
        <v>485.9666666666526</v>
      </c>
      <c r="G133" s="156">
        <f t="shared" si="47"/>
        <v>1.3690000000000024</v>
      </c>
      <c r="H133" s="156">
        <f t="shared" si="47"/>
        <v>1.9470000000000003</v>
      </c>
      <c r="I133" s="156">
        <f>SUM(Table2B.3_AQ_Dif[[#This Row],[NOX]:[VOC]])</f>
        <v>489.46083333331927</v>
      </c>
    </row>
    <row r="134" spans="2:9">
      <c r="B134" s="135">
        <f>First_Year+'Appendix B. Project Info'!B55</f>
        <v>2058</v>
      </c>
      <c r="C134" s="156">
        <f t="shared" ref="C134:H134" si="48">C52-C93</f>
        <v>0.16000000000000014</v>
      </c>
      <c r="D134" s="156">
        <f t="shared" si="48"/>
        <v>8.0000000000000071E-3</v>
      </c>
      <c r="E134" s="156">
        <f t="shared" si="48"/>
        <v>9.9999999999999811E-3</v>
      </c>
      <c r="F134" s="156">
        <f t="shared" si="48"/>
        <v>495</v>
      </c>
      <c r="G134" s="156">
        <f t="shared" si="48"/>
        <v>1.42</v>
      </c>
      <c r="H134" s="156">
        <f t="shared" si="48"/>
        <v>2.0100000000000002</v>
      </c>
      <c r="I134" s="156">
        <f>SUM(Table2B.3_AQ_Dif[[#This Row],[NOX]:[VOC]])</f>
        <v>498.608</v>
      </c>
    </row>
    <row r="135" spans="2:9">
      <c r="B135" s="135" t="s">
        <v>26</v>
      </c>
      <c r="C135" s="203">
        <f>SUBTOTAL(109,Table2B.3_AQ_Dif[NOX])</f>
        <v>5.2699999999998424</v>
      </c>
      <c r="D135" s="203">
        <f>SUBTOTAL(109,Table2B.3_AQ_Dif[SOx])</f>
        <v>0.1704999999999981</v>
      </c>
      <c r="E135" s="203">
        <f>SUBTOTAL(109,Table2B.3_AQ_Dif[PM2.5])</f>
        <v>0.15499999999998662</v>
      </c>
      <c r="F135" s="203">
        <f>SUBTOTAL(109,Table2B.3_AQ_Dif[CO2])</f>
        <v>11144.499999999789</v>
      </c>
      <c r="G135" s="203">
        <f>SUBTOTAL(109,Table2B.3_AQ_Dif[PM10])</f>
        <v>20.305000000000049</v>
      </c>
      <c r="H135" s="203">
        <f>SUBTOTAL(109,Table2B.3_AQ_Dif[VOC])</f>
        <v>33.015000000000022</v>
      </c>
      <c r="I135" s="204">
        <f>SUBTOTAL(109,Table2B.3_AQ_Dif[Total])</f>
        <v>11203.415499999788</v>
      </c>
    </row>
    <row r="137" spans="2:9">
      <c r="B137" s="63" t="s">
        <v>143</v>
      </c>
    </row>
    <row r="139" spans="2:9">
      <c r="B139" s="134" t="s">
        <v>19</v>
      </c>
      <c r="C139" s="146" t="s">
        <v>130</v>
      </c>
      <c r="D139" s="146" t="s">
        <v>122</v>
      </c>
      <c r="E139" s="146" t="s">
        <v>131</v>
      </c>
      <c r="F139" s="146" t="s">
        <v>132</v>
      </c>
      <c r="G139" s="146" t="s">
        <v>133</v>
      </c>
      <c r="H139" s="146" t="s">
        <v>126</v>
      </c>
      <c r="I139" s="146" t="s">
        <v>26</v>
      </c>
    </row>
    <row r="140" spans="2:9">
      <c r="B140" s="135">
        <f>First_Year+'Appendix B. Project Info'!B20</f>
        <v>2023</v>
      </c>
      <c r="C140" s="163">
        <f>IFERROR(IF(Table2B.4_AQ_Dollars[[#This Row],[Year]]&gt;Closeout,(C99*INDEX(TableA6_Emissions[#All],MATCH(Table2B.4_AQ_Dollars[[#This Row],[Year]],TableA6_Emissions[Year],0),MATCH(Table2B.4_AQ_Dollars[[#Headers],[NOX]],TableA6_Emissions[#Headers],0))),0),0)</f>
        <v>0</v>
      </c>
      <c r="D140" s="163">
        <f>IFERROR(IF(Table2B.4_AQ_Dollars[[#This Row],[Year]]&gt;Closeout,(D99*INDEX(TableA6_Emissions[#All],MATCH(Table2B.4_AQ_Dollars[[#This Row],[Year]],TableA6_Emissions[Year],0),MATCH(Table2B.4_AQ_Dollars[[#Headers],[SOx]],TableA6_Emissions[#Headers],0))),0),0)</f>
        <v>0</v>
      </c>
      <c r="E140" s="163">
        <f>IFERROR(IF(Table2B.4_AQ_Dollars[[#This Row],[Year]]&gt;Closeout,(E99*INDEX(TableA6_Emissions[#All],MATCH(Table2B.4_AQ_Dollars[[#This Row],[Year]],TableA6_Emissions[Year],0),MATCH(Table2B.4_AQ_Dollars[[#Headers],[PM2.5]],TableA6_Emissions[#Headers],0))),0),0)</f>
        <v>0</v>
      </c>
      <c r="F140" s="163">
        <f>IFERROR(IF(Table2B.4_AQ_Dollars[[#This Row],[Year]]&gt;Closeout,F99*INDEX(TableA6_Emissions[#All],MATCH(Table2B.4_AQ_Dollars[[#This Row],[Year]],TableA6_Emissions[Year],0),MATCH(Table2B.4_AQ_Dollars[[#Headers],[CO2]],TableA6_Emissions[#Headers],0)),0),0)</f>
        <v>0</v>
      </c>
      <c r="G140" s="163">
        <f>IFERROR(G99*INDEX(TableA6_Emissions[#All],MATCH(Table2B.4_AQ_Dollars[[#This Row],[Year]],TableA6_Emissions[Year],0),MATCH(Table2B.4_AQ_Dollars[[#Headers],[PM10]],TableA6_Emissions[#Headers],0)),0)</f>
        <v>0</v>
      </c>
      <c r="H140" s="163">
        <f>IFERROR(H99*INDEX(TableA6_Emissions[#All],MATCH(Table2B.4_AQ_Dollars[[#This Row],[Year]],TableA6_Emissions[Year],0),MATCH(Table2B.4_AQ_Dollars[[#Headers],[VOC]],TableA6_Emissions[#Headers],0)),0)</f>
        <v>0</v>
      </c>
      <c r="I140" s="163">
        <f>SUM(Table2B.4_AQ_Dollars[[#This Row],[NOX]:[VOC]])</f>
        <v>0</v>
      </c>
    </row>
    <row r="141" spans="2:9">
      <c r="B141" s="135">
        <f>First_Year+'Appendix B. Project Info'!B21</f>
        <v>2024</v>
      </c>
      <c r="C141" s="163">
        <f>IFERROR(IF(Table2B.4_AQ_Dollars[[#This Row],[Year]]&gt;Closeout,(C100*INDEX(TableA6_Emissions[#All],MATCH(Table2B.4_AQ_Dollars[[#This Row],[Year]],TableA6_Emissions[Year],0),MATCH(Table2B.4_AQ_Dollars[[#Headers],[NOX]],TableA6_Emissions[#Headers],0))),0),0)</f>
        <v>0</v>
      </c>
      <c r="D141" s="163">
        <f>IFERROR(IF(Table2B.4_AQ_Dollars[[#This Row],[Year]]&gt;Closeout,(D100*INDEX(TableA6_Emissions[#All],MATCH(Table2B.4_AQ_Dollars[[#This Row],[Year]],TableA6_Emissions[Year],0),MATCH(Table2B.4_AQ_Dollars[[#Headers],[SOx]],TableA6_Emissions[#Headers],0))),0),0)</f>
        <v>0</v>
      </c>
      <c r="E141" s="163">
        <f>IFERROR(IF(Table2B.4_AQ_Dollars[[#This Row],[Year]]&gt;Closeout,(E100*INDEX(TableA6_Emissions[#All],MATCH(Table2B.4_AQ_Dollars[[#This Row],[Year]],TableA6_Emissions[Year],0),MATCH(Table2B.4_AQ_Dollars[[#Headers],[PM2.5]],TableA6_Emissions[#Headers],0))),0),0)</f>
        <v>0</v>
      </c>
      <c r="F141" s="163">
        <f>IFERROR(IF(Table2B.4_AQ_Dollars[[#This Row],[Year]]&gt;Closeout,F100*INDEX(TableA6_Emissions[#All],MATCH(Table2B.4_AQ_Dollars[[#This Row],[Year]],TableA6_Emissions[Year],0),MATCH(Table2B.4_AQ_Dollars[[#Headers],[CO2]],TableA6_Emissions[#Headers],0)),0),0)</f>
        <v>0</v>
      </c>
      <c r="G141" s="163">
        <f>IFERROR(G100*INDEX(TableA6_Emissions[#All],MATCH(Table2B.4_AQ_Dollars[[#This Row],[Year]],TableA6_Emissions[Year],0),MATCH(Table2B.4_AQ_Dollars[[#Headers],[PM10]],TableA6_Emissions[#Headers],0)),0)</f>
        <v>0</v>
      </c>
      <c r="H141" s="163">
        <f>IFERROR(H100*INDEX(TableA6_Emissions[#All],MATCH(Table2B.4_AQ_Dollars[[#This Row],[Year]],TableA6_Emissions[Year],0),MATCH(Table2B.4_AQ_Dollars[[#Headers],[VOC]],TableA6_Emissions[#Headers],0)),0)</f>
        <v>0</v>
      </c>
      <c r="I141" s="163">
        <f>SUM(Table2B.4_AQ_Dollars[[#This Row],[NOX]:[VOC]])</f>
        <v>0</v>
      </c>
    </row>
    <row r="142" spans="2:9">
      <c r="B142" s="135">
        <f>First_Year+'Appendix B. Project Info'!B22</f>
        <v>2025</v>
      </c>
      <c r="C142" s="163">
        <f>IFERROR(IF(Table2B.4_AQ_Dollars[[#This Row],[Year]]&gt;Closeout,(C101*INDEX(TableA6_Emissions[#All],MATCH(Table2B.4_AQ_Dollars[[#This Row],[Year]],TableA6_Emissions[Year],0),MATCH(Table2B.4_AQ_Dollars[[#Headers],[NOX]],TableA6_Emissions[#Headers],0))),0),0)</f>
        <v>0</v>
      </c>
      <c r="D142" s="163">
        <f>IFERROR(IF(Table2B.4_AQ_Dollars[[#This Row],[Year]]&gt;Closeout,(D101*INDEX(TableA6_Emissions[#All],MATCH(Table2B.4_AQ_Dollars[[#This Row],[Year]],TableA6_Emissions[Year],0),MATCH(Table2B.4_AQ_Dollars[[#Headers],[SOx]],TableA6_Emissions[#Headers],0))),0),0)</f>
        <v>0</v>
      </c>
      <c r="E142" s="163">
        <f>IFERROR(IF(Table2B.4_AQ_Dollars[[#This Row],[Year]]&gt;Closeout,(E101*INDEX(TableA6_Emissions[#All],MATCH(Table2B.4_AQ_Dollars[[#This Row],[Year]],TableA6_Emissions[Year],0),MATCH(Table2B.4_AQ_Dollars[[#Headers],[PM2.5]],TableA6_Emissions[#Headers],0))),0),0)</f>
        <v>0</v>
      </c>
      <c r="F142" s="163">
        <f>IFERROR(IF(Table2B.4_AQ_Dollars[[#This Row],[Year]]&gt;Closeout,F101*INDEX(TableA6_Emissions[#All],MATCH(Table2B.4_AQ_Dollars[[#This Row],[Year]],TableA6_Emissions[Year],0),MATCH(Table2B.4_AQ_Dollars[[#Headers],[CO2]],TableA6_Emissions[#Headers],0)),0),0)</f>
        <v>0</v>
      </c>
      <c r="G142" s="163">
        <f>IFERROR(G101*INDEX(TableA6_Emissions[#All],MATCH(Table2B.4_AQ_Dollars[[#This Row],[Year]],TableA6_Emissions[Year],0),MATCH(Table2B.4_AQ_Dollars[[#Headers],[PM10]],TableA6_Emissions[#Headers],0)),0)</f>
        <v>0</v>
      </c>
      <c r="H142" s="163">
        <f>IFERROR(H101*INDEX(TableA6_Emissions[#All],MATCH(Table2B.4_AQ_Dollars[[#This Row],[Year]],TableA6_Emissions[Year],0),MATCH(Table2B.4_AQ_Dollars[[#Headers],[VOC]],TableA6_Emissions[#Headers],0)),0)</f>
        <v>0</v>
      </c>
      <c r="I142" s="163">
        <f>SUM(Table2B.4_AQ_Dollars[[#This Row],[NOX]:[VOC]])</f>
        <v>0</v>
      </c>
    </row>
    <row r="143" spans="2:9">
      <c r="B143" s="135">
        <f>First_Year+'Appendix B. Project Info'!B23</f>
        <v>2026</v>
      </c>
      <c r="C143" s="163">
        <f>IFERROR(IF(Table2B.4_AQ_Dollars[[#This Row],[Year]]&gt;Closeout,(C102*INDEX(TableA6_Emissions[#All],MATCH(Table2B.4_AQ_Dollars[[#This Row],[Year]],TableA6_Emissions[Year],0),MATCH(Table2B.4_AQ_Dollars[[#Headers],[NOX]],TableA6_Emissions[#Headers],0))),0),0)</f>
        <v>0</v>
      </c>
      <c r="D143" s="163">
        <f>IFERROR(IF(Table2B.4_AQ_Dollars[[#This Row],[Year]]&gt;Closeout,(D102*INDEX(TableA6_Emissions[#All],MATCH(Table2B.4_AQ_Dollars[[#This Row],[Year]],TableA6_Emissions[Year],0),MATCH(Table2B.4_AQ_Dollars[[#Headers],[SOx]],TableA6_Emissions[#Headers],0))),0),0)</f>
        <v>0</v>
      </c>
      <c r="E143" s="163">
        <f>IFERROR(IF(Table2B.4_AQ_Dollars[[#This Row],[Year]]&gt;Closeout,(E102*INDEX(TableA6_Emissions[#All],MATCH(Table2B.4_AQ_Dollars[[#This Row],[Year]],TableA6_Emissions[Year],0),MATCH(Table2B.4_AQ_Dollars[[#Headers],[PM2.5]],TableA6_Emissions[#Headers],0))),0),0)</f>
        <v>0</v>
      </c>
      <c r="F143" s="163">
        <f>IFERROR(IF(Table2B.4_AQ_Dollars[[#This Row],[Year]]&gt;Closeout,F102*INDEX(TableA6_Emissions[#All],MATCH(Table2B.4_AQ_Dollars[[#This Row],[Year]],TableA6_Emissions[Year],0),MATCH(Table2B.4_AQ_Dollars[[#Headers],[CO2]],TableA6_Emissions[#Headers],0)),0),0)</f>
        <v>0</v>
      </c>
      <c r="G143" s="163">
        <f>IFERROR(G102*INDEX(TableA6_Emissions[#All],MATCH(Table2B.4_AQ_Dollars[[#This Row],[Year]],TableA6_Emissions[Year],0),MATCH(Table2B.4_AQ_Dollars[[#Headers],[PM10]],TableA6_Emissions[#Headers],0)),0)</f>
        <v>0</v>
      </c>
      <c r="H143" s="163">
        <f>IFERROR(H102*INDEX(TableA6_Emissions[#All],MATCH(Table2B.4_AQ_Dollars[[#This Row],[Year]],TableA6_Emissions[Year],0),MATCH(Table2B.4_AQ_Dollars[[#Headers],[VOC]],TableA6_Emissions[#Headers],0)),0)</f>
        <v>0</v>
      </c>
      <c r="I143" s="163">
        <f>SUM(Table2B.4_AQ_Dollars[[#This Row],[NOX]:[VOC]])</f>
        <v>0</v>
      </c>
    </row>
    <row r="144" spans="2:9">
      <c r="B144" s="135">
        <f>First_Year+'Appendix B. Project Info'!B24</f>
        <v>2027</v>
      </c>
      <c r="C144" s="163">
        <f>IFERROR(IF(Table2B.4_AQ_Dollars[[#This Row],[Year]]&gt;Closeout,(C103*INDEX(TableA6_Emissions[#All],MATCH(Table2B.4_AQ_Dollars[[#This Row],[Year]],TableA6_Emissions[Year],0),MATCH(Table2B.4_AQ_Dollars[[#Headers],[NOX]],TableA6_Emissions[#Headers],0))),0),0)</f>
        <v>0</v>
      </c>
      <c r="D144" s="163">
        <f>IFERROR(IF(Table2B.4_AQ_Dollars[[#This Row],[Year]]&gt;Closeout,(D103*INDEX(TableA6_Emissions[#All],MATCH(Table2B.4_AQ_Dollars[[#This Row],[Year]],TableA6_Emissions[Year],0),MATCH(Table2B.4_AQ_Dollars[[#Headers],[SOx]],TableA6_Emissions[#Headers],0))),0),0)</f>
        <v>0</v>
      </c>
      <c r="E144" s="163">
        <f>IFERROR(IF(Table2B.4_AQ_Dollars[[#This Row],[Year]]&gt;Closeout,(E103*INDEX(TableA6_Emissions[#All],MATCH(Table2B.4_AQ_Dollars[[#This Row],[Year]],TableA6_Emissions[Year],0),MATCH(Table2B.4_AQ_Dollars[[#Headers],[PM2.5]],TableA6_Emissions[#Headers],0))),0),0)</f>
        <v>0</v>
      </c>
      <c r="F144" s="163">
        <f>IFERROR(IF(Table2B.4_AQ_Dollars[[#This Row],[Year]]&gt;Closeout,F103*INDEX(TableA6_Emissions[#All],MATCH(Table2B.4_AQ_Dollars[[#This Row],[Year]],TableA6_Emissions[Year],0),MATCH(Table2B.4_AQ_Dollars[[#Headers],[CO2]],TableA6_Emissions[#Headers],0)),0),0)</f>
        <v>0</v>
      </c>
      <c r="G144" s="163">
        <f>IFERROR(G103*INDEX(TableA6_Emissions[#All],MATCH(Table2B.4_AQ_Dollars[[#This Row],[Year]],TableA6_Emissions[Year],0),MATCH(Table2B.4_AQ_Dollars[[#Headers],[PM10]],TableA6_Emissions[#Headers],0)),0)</f>
        <v>0</v>
      </c>
      <c r="H144" s="163">
        <f>IFERROR(H103*INDEX(TableA6_Emissions[#All],MATCH(Table2B.4_AQ_Dollars[[#This Row],[Year]],TableA6_Emissions[Year],0),MATCH(Table2B.4_AQ_Dollars[[#Headers],[VOC]],TableA6_Emissions[#Headers],0)),0)</f>
        <v>0</v>
      </c>
      <c r="I144" s="163">
        <f>SUM(Table2B.4_AQ_Dollars[[#This Row],[NOX]:[VOC]])</f>
        <v>0</v>
      </c>
    </row>
    <row r="145" spans="2:9">
      <c r="B145" s="135">
        <f>First_Year+'Appendix B. Project Info'!B25</f>
        <v>2028</v>
      </c>
      <c r="C145" s="163">
        <f>IFERROR(IF(Table2B.4_AQ_Dollars[[#This Row],[Year]]&gt;Closeout,(C104*INDEX(TableA6_Emissions[#All],MATCH(Table2B.4_AQ_Dollars[[#This Row],[Year]],TableA6_Emissions[Year],0),MATCH(Table2B.4_AQ_Dollars[[#Headers],[NOX]],TableA6_Emissions[#Headers],0))),0),0)</f>
        <v>0</v>
      </c>
      <c r="D145" s="163">
        <f>IFERROR(IF(Table2B.4_AQ_Dollars[[#This Row],[Year]]&gt;Closeout,(D104*INDEX(TableA6_Emissions[#All],MATCH(Table2B.4_AQ_Dollars[[#This Row],[Year]],TableA6_Emissions[Year],0),MATCH(Table2B.4_AQ_Dollars[[#Headers],[SOx]],TableA6_Emissions[#Headers],0))),0),0)</f>
        <v>0</v>
      </c>
      <c r="E145" s="163">
        <f>IFERROR(IF(Table2B.4_AQ_Dollars[[#This Row],[Year]]&gt;Closeout,(E104*INDEX(TableA6_Emissions[#All],MATCH(Table2B.4_AQ_Dollars[[#This Row],[Year]],TableA6_Emissions[Year],0),MATCH(Table2B.4_AQ_Dollars[[#Headers],[PM2.5]],TableA6_Emissions[#Headers],0))),0),0)</f>
        <v>0</v>
      </c>
      <c r="F145" s="163">
        <f>IFERROR(IF(Table2B.4_AQ_Dollars[[#This Row],[Year]]&gt;Closeout,F104*INDEX(TableA6_Emissions[#All],MATCH(Table2B.4_AQ_Dollars[[#This Row],[Year]],TableA6_Emissions[Year],0),MATCH(Table2B.4_AQ_Dollars[[#Headers],[CO2]],TableA6_Emissions[#Headers],0)),0),0)</f>
        <v>0</v>
      </c>
      <c r="G145" s="163">
        <f>IFERROR(G104*INDEX(TableA6_Emissions[#All],MATCH(Table2B.4_AQ_Dollars[[#This Row],[Year]],TableA6_Emissions[Year],0),MATCH(Table2B.4_AQ_Dollars[[#Headers],[PM10]],TableA6_Emissions[#Headers],0)),0)</f>
        <v>0</v>
      </c>
      <c r="H145" s="163">
        <f>IFERROR(H104*INDEX(TableA6_Emissions[#All],MATCH(Table2B.4_AQ_Dollars[[#This Row],[Year]],TableA6_Emissions[Year],0),MATCH(Table2B.4_AQ_Dollars[[#Headers],[VOC]],TableA6_Emissions[#Headers],0)),0)</f>
        <v>0</v>
      </c>
      <c r="I145" s="217">
        <f>SUM(Table2B.4_AQ_Dollars[[#This Row],[NOX]:[VOC]])</f>
        <v>0</v>
      </c>
    </row>
    <row r="146" spans="2:9">
      <c r="B146" s="135">
        <f>First_Year+'Appendix B. Project Info'!B26</f>
        <v>2029</v>
      </c>
      <c r="C146" s="163">
        <f>IFERROR(IF(Table2B.4_AQ_Dollars[[#This Row],[Year]]&gt;Closeout,(C105*INDEX(TableA6_Emissions[#All],MATCH(Table2B.4_AQ_Dollars[[#This Row],[Year]],TableA6_Emissions[Year],0),MATCH(Table2B.4_AQ_Dollars[[#Headers],[NOX]],TableA6_Emissions[#Headers],0))),0),0)</f>
        <v>3263.8666666666627</v>
      </c>
      <c r="D146" s="163">
        <f>IFERROR(IF(Table2B.4_AQ_Dollars[[#This Row],[Year]]&gt;Closeout,(D105*INDEX(TableA6_Emissions[#All],MATCH(Table2B.4_AQ_Dollars[[#This Row],[Year]],TableA6_Emissions[Year],0),MATCH(Table2B.4_AQ_Dollars[[#Headers],[SOx]],TableA6_Emissions[#Headers],0))),0),0)</f>
        <v>156.74999999999991</v>
      </c>
      <c r="E146" s="163">
        <f>IFERROR(IF(Table2B.4_AQ_Dollars[[#This Row],[Year]]&gt;Closeout,(E105*INDEX(TableA6_Emissions[#All],MATCH(Table2B.4_AQ_Dollars[[#This Row],[Year]],TableA6_Emissions[Year],0),MATCH(Table2B.4_AQ_Dollars[[#Headers],[PM2.5]],TableA6_Emissions[#Headers],0))),0),0)</f>
        <v>293.13333333330104</v>
      </c>
      <c r="F146" s="163">
        <f>IFERROR(IF(Table2B.4_AQ_Dollars[[#This Row],[Year]]&gt;Closeout,F105*INDEX(TableA6_Emissions[#All],MATCH(Table2B.4_AQ_Dollars[[#This Row],[Year]],TableA6_Emissions[Year],0),MATCH(Table2B.4_AQ_Dollars[[#Headers],[CO2]],TableA6_Emissions[#Headers],0)),0),0)</f>
        <v>14448.066666666637</v>
      </c>
      <c r="G146" s="163">
        <f>IFERROR(G105*INDEX(TableA6_Emissions[#All],MATCH(Table2B.4_AQ_Dollars[[#This Row],[Year]],TableA6_Emissions[Year],0),MATCH(Table2B.4_AQ_Dollars[[#Headers],[PM10]],TableA6_Emissions[#Headers],0)),0)</f>
        <v>0</v>
      </c>
      <c r="H146" s="163">
        <f>IFERROR(H105*INDEX(TableA6_Emissions[#All],MATCH(Table2B.4_AQ_Dollars[[#This Row],[Year]],TableA6_Emissions[Year],0),MATCH(Table2B.4_AQ_Dollars[[#Headers],[VOC]],TableA6_Emissions[#Headers],0)),0)</f>
        <v>0</v>
      </c>
      <c r="I146" s="217">
        <f>SUM(Table2B.4_AQ_Dollars[[#This Row],[NOX]:[VOC]])</f>
        <v>18161.8166666666</v>
      </c>
    </row>
    <row r="147" spans="2:9">
      <c r="B147" s="135">
        <f>First_Year+'Appendix B. Project Info'!B27</f>
        <v>2030</v>
      </c>
      <c r="C147" s="163">
        <f>IFERROR(IF(Table2B.4_AQ_Dollars[[#This Row],[Year]]&gt;Closeout,(C106*INDEX(TableA6_Emissions[#All],MATCH(Table2B.4_AQ_Dollars[[#This Row],[Year]],TableA6_Emissions[Year],0),MATCH(Table2B.4_AQ_Dollars[[#Headers],[NOX]],TableA6_Emissions[#Headers],0))),0),0)</f>
        <v>3323.1999999999894</v>
      </c>
      <c r="D147" s="163">
        <f>IFERROR(IF(Table2B.4_AQ_Dollars[[#This Row],[Year]]&gt;Closeout,(D106*INDEX(TableA6_Emissions[#All],MATCH(Table2B.4_AQ_Dollars[[#This Row],[Year]],TableA6_Emissions[Year],0),MATCH(Table2B.4_AQ_Dollars[[#Headers],[SOx]],TableA6_Emissions[#Headers],0))),0),0)</f>
        <v>167.99999999999969</v>
      </c>
      <c r="E147" s="163">
        <f>IFERROR(IF(Table2B.4_AQ_Dollars[[#This Row],[Year]]&gt;Closeout,(E106*INDEX(TableA6_Emissions[#All],MATCH(Table2B.4_AQ_Dollars[[#This Row],[Year]],TableA6_Emissions[Year],0),MATCH(Table2B.4_AQ_Dollars[[#Headers],[PM2.5]],TableA6_Emissions[#Headers],0))),0),0)</f>
        <v>595.59999999993443</v>
      </c>
      <c r="F147" s="163">
        <f>IFERROR(IF(Table2B.4_AQ_Dollars[[#This Row],[Year]]&gt;Closeout,F106*INDEX(TableA6_Emissions[#All],MATCH(Table2B.4_AQ_Dollars[[#This Row],[Year]],TableA6_Emissions[Year],0),MATCH(Table2B.4_AQ_Dollars[[#Headers],[CO2]],TableA6_Emissions[#Headers],0)),0),0)</f>
        <v>15250.199999999939</v>
      </c>
      <c r="G147" s="163">
        <f>IFERROR(G106*INDEX(TableA6_Emissions[#All],MATCH(Table2B.4_AQ_Dollars[[#This Row],[Year]],TableA6_Emissions[Year],0),MATCH(Table2B.4_AQ_Dollars[[#Headers],[PM10]],TableA6_Emissions[#Headers],0)),0)</f>
        <v>0</v>
      </c>
      <c r="H147" s="163">
        <f>IFERROR(H106*INDEX(TableA6_Emissions[#All],MATCH(Table2B.4_AQ_Dollars[[#This Row],[Year]],TableA6_Emissions[Year],0),MATCH(Table2B.4_AQ_Dollars[[#Headers],[VOC]],TableA6_Emissions[#Headers],0)),0)</f>
        <v>0</v>
      </c>
      <c r="I147" s="217">
        <f>SUM(Table2B.4_AQ_Dollars[[#This Row],[NOX]:[VOC]])</f>
        <v>19336.999999999862</v>
      </c>
    </row>
    <row r="148" spans="2:9">
      <c r="B148" s="135">
        <f>First_Year+'Appendix B. Project Info'!B28</f>
        <v>2031</v>
      </c>
      <c r="C148" s="163">
        <f>IFERROR(IF(Table2B.4_AQ_Dollars[[#This Row],[Year]]&gt;Closeout,(C107*INDEX(TableA6_Emissions[#All],MATCH(Table2B.4_AQ_Dollars[[#This Row],[Year]],TableA6_Emissions[Year],0),MATCH(Table2B.4_AQ_Dollars[[#Headers],[NOX]],TableA6_Emissions[#Headers],0))),0),0)</f>
        <v>3364.1999999999821</v>
      </c>
      <c r="D148" s="163">
        <f>IFERROR(IF(Table2B.4_AQ_Dollars[[#This Row],[Year]]&gt;Closeout,(D107*INDEX(TableA6_Emissions[#All],MATCH(Table2B.4_AQ_Dollars[[#This Row],[Year]],TableA6_Emissions[Year],0),MATCH(Table2B.4_AQ_Dollars[[#Headers],[SOx]],TableA6_Emissions[#Headers],0))),0),0)</f>
        <v>179.54999999999944</v>
      </c>
      <c r="E148" s="163">
        <f>IFERROR(IF(Table2B.4_AQ_Dollars[[#This Row],[Year]]&gt;Closeout,(E107*INDEX(TableA6_Emissions[#All],MATCH(Table2B.4_AQ_Dollars[[#This Row],[Year]],TableA6_Emissions[Year],0),MATCH(Table2B.4_AQ_Dollars[[#Headers],[PM2.5]],TableA6_Emissions[#Headers],0))),0),0)</f>
        <v>907.59999999990009</v>
      </c>
      <c r="F148" s="163">
        <f>IFERROR(IF(Table2B.4_AQ_Dollars[[#This Row],[Year]]&gt;Closeout,F107*INDEX(TableA6_Emissions[#All],MATCH(Table2B.4_AQ_Dollars[[#This Row],[Year]],TableA6_Emissions[Year],0),MATCH(Table2B.4_AQ_Dollars[[#Headers],[CO2]],TableA6_Emissions[#Headers],0)),0),0)</f>
        <v>16321.499999999905</v>
      </c>
      <c r="G148" s="163">
        <f>IFERROR(G107*INDEX(TableA6_Emissions[#All],MATCH(Table2B.4_AQ_Dollars[[#This Row],[Year]],TableA6_Emissions[Year],0),MATCH(Table2B.4_AQ_Dollars[[#Headers],[PM10]],TableA6_Emissions[#Headers],0)),0)</f>
        <v>0</v>
      </c>
      <c r="H148" s="163">
        <f>IFERROR(H107*INDEX(TableA6_Emissions[#All],MATCH(Table2B.4_AQ_Dollars[[#This Row],[Year]],TableA6_Emissions[Year],0),MATCH(Table2B.4_AQ_Dollars[[#Headers],[VOC]],TableA6_Emissions[#Headers],0)),0)</f>
        <v>0</v>
      </c>
      <c r="I148" s="217">
        <f>SUM(Table2B.4_AQ_Dollars[[#This Row],[NOX]:[VOC]])</f>
        <v>20772.849999999788</v>
      </c>
    </row>
    <row r="149" spans="2:9">
      <c r="B149" s="135">
        <f>First_Year+'Appendix B. Project Info'!B29</f>
        <v>2032</v>
      </c>
      <c r="C149" s="163">
        <f>IFERROR(IF(Table2B.4_AQ_Dollars[[#This Row],[Year]]&gt;Closeout,(C108*INDEX(TableA6_Emissions[#All],MATCH(Table2B.4_AQ_Dollars[[#This Row],[Year]],TableA6_Emissions[Year],0),MATCH(Table2B.4_AQ_Dollars[[#Headers],[NOX]],TableA6_Emissions[#Headers],0))),0),0)</f>
        <v>3351.5999999999749</v>
      </c>
      <c r="D149" s="163">
        <f>IFERROR(IF(Table2B.4_AQ_Dollars[[#This Row],[Year]]&gt;Closeout,(D108*INDEX(TableA6_Emissions[#All],MATCH(Table2B.4_AQ_Dollars[[#This Row],[Year]],TableA6_Emissions[Year],0),MATCH(Table2B.4_AQ_Dollars[[#Headers],[SOx]],TableA6_Emissions[#Headers],0))),0),0)</f>
        <v>188.09999999999923</v>
      </c>
      <c r="E149" s="163">
        <f>IFERROR(IF(Table2B.4_AQ_Dollars[[#This Row],[Year]]&gt;Closeout,(E108*INDEX(TableA6_Emissions[#All],MATCH(Table2B.4_AQ_Dollars[[#This Row],[Year]],TableA6_Emissions[Year],0),MATCH(Table2B.4_AQ_Dollars[[#Headers],[PM2.5]],TableA6_Emissions[#Headers],0))),0),0)</f>
        <v>1210.1333333332</v>
      </c>
      <c r="F149" s="163">
        <f>IFERROR(IF(Table2B.4_AQ_Dollars[[#This Row],[Year]]&gt;Closeout,F108*INDEX(TableA6_Emissions[#All],MATCH(Table2B.4_AQ_Dollars[[#This Row],[Year]],TableA6_Emissions[Year],0),MATCH(Table2B.4_AQ_Dollars[[#Headers],[CO2]],TableA6_Emissions[#Headers],0)),0),0)</f>
        <v>17168.799999999872</v>
      </c>
      <c r="G149" s="163">
        <f>IFERROR(G108*INDEX(TableA6_Emissions[#All],MATCH(Table2B.4_AQ_Dollars[[#This Row],[Year]],TableA6_Emissions[Year],0),MATCH(Table2B.4_AQ_Dollars[[#Headers],[PM10]],TableA6_Emissions[#Headers],0)),0)</f>
        <v>0</v>
      </c>
      <c r="H149" s="163">
        <f>IFERROR(H108*INDEX(TableA6_Emissions[#All],MATCH(Table2B.4_AQ_Dollars[[#This Row],[Year]],TableA6_Emissions[Year],0),MATCH(Table2B.4_AQ_Dollars[[#Headers],[VOC]],TableA6_Emissions[#Headers],0)),0)</f>
        <v>0</v>
      </c>
      <c r="I149" s="217">
        <f>SUM(Table2B.4_AQ_Dollars[[#This Row],[NOX]:[VOC]])</f>
        <v>21918.633333333048</v>
      </c>
    </row>
    <row r="150" spans="2:9">
      <c r="B150" s="135">
        <f>First_Year+'Appendix B. Project Info'!B30</f>
        <v>2033</v>
      </c>
      <c r="C150" s="163">
        <f>IFERROR(IF(Table2B.4_AQ_Dollars[[#This Row],[Year]]&gt;Closeout,(C109*INDEX(TableA6_Emissions[#All],MATCH(Table2B.4_AQ_Dollars[[#This Row],[Year]],TableA6_Emissions[Year],0),MATCH(Table2B.4_AQ_Dollars[[#Headers],[NOX]],TableA6_Emissions[#Headers],0))),0),0)</f>
        <v>3338.9999999999682</v>
      </c>
      <c r="D150" s="163">
        <f>IFERROR(IF(Table2B.4_AQ_Dollars[[#This Row],[Year]]&gt;Closeout,(D109*INDEX(TableA6_Emissions[#All],MATCH(Table2B.4_AQ_Dollars[[#This Row],[Year]],TableA6_Emissions[Year],0),MATCH(Table2B.4_AQ_Dollars[[#Headers],[SOx]],TableA6_Emissions[#Headers],0))),0),0)</f>
        <v>196.64999999999898</v>
      </c>
      <c r="E150" s="163">
        <f>IFERROR(IF(Table2B.4_AQ_Dollars[[#This Row],[Year]]&gt;Closeout,(E109*INDEX(TableA6_Emissions[#All],MATCH(Table2B.4_AQ_Dollars[[#This Row],[Year]],TableA6_Emissions[Year],0),MATCH(Table2B.4_AQ_Dollars[[#Headers],[PM2.5]],TableA6_Emissions[#Headers],0))),0),0)</f>
        <v>1512.6666666665001</v>
      </c>
      <c r="F150" s="163">
        <f>IFERROR(IF(Table2B.4_AQ_Dollars[[#This Row],[Year]]&gt;Closeout,F109*INDEX(TableA6_Emissions[#All],MATCH(Table2B.4_AQ_Dollars[[#This Row],[Year]],TableA6_Emissions[Year],0),MATCH(Table2B.4_AQ_Dollars[[#Headers],[CO2]],TableA6_Emissions[#Headers],0)),0),0)</f>
        <v>18034.166666666504</v>
      </c>
      <c r="G150" s="163">
        <f>IFERROR(G109*INDEX(TableA6_Emissions[#All],MATCH(Table2B.4_AQ_Dollars[[#This Row],[Year]],TableA6_Emissions[Year],0),MATCH(Table2B.4_AQ_Dollars[[#Headers],[PM10]],TableA6_Emissions[#Headers],0)),0)</f>
        <v>0</v>
      </c>
      <c r="H150" s="163">
        <f>IFERROR(H109*INDEX(TableA6_Emissions[#All],MATCH(Table2B.4_AQ_Dollars[[#This Row],[Year]],TableA6_Emissions[Year],0),MATCH(Table2B.4_AQ_Dollars[[#Headers],[VOC]],TableA6_Emissions[#Headers],0)),0)</f>
        <v>0</v>
      </c>
      <c r="I150" s="217">
        <f>SUM(Table2B.4_AQ_Dollars[[#This Row],[NOX]:[VOC]])</f>
        <v>23082.483333332973</v>
      </c>
    </row>
    <row r="151" spans="2:9">
      <c r="B151" s="135">
        <f>First_Year+'Appendix B. Project Info'!B31</f>
        <v>2034</v>
      </c>
      <c r="C151" s="163">
        <f>IFERROR(IF(Table2B.4_AQ_Dollars[[#This Row],[Year]]&gt;Closeout,(C110*INDEX(TableA6_Emissions[#All],MATCH(Table2B.4_AQ_Dollars[[#This Row],[Year]],TableA6_Emissions[Year],0),MATCH(Table2B.4_AQ_Dollars[[#Headers],[NOX]],TableA6_Emissions[#Headers],0))),0),0)</f>
        <v>3326.399999999961</v>
      </c>
      <c r="D151" s="163">
        <f>IFERROR(IF(Table2B.4_AQ_Dollars[[#This Row],[Year]]&gt;Closeout,(D110*INDEX(TableA6_Emissions[#All],MATCH(Table2B.4_AQ_Dollars[[#This Row],[Year]],TableA6_Emissions[Year],0),MATCH(Table2B.4_AQ_Dollars[[#Headers],[SOx]],TableA6_Emissions[#Headers],0))),0),0)</f>
        <v>205.19999999999877</v>
      </c>
      <c r="E151" s="163">
        <f>IFERROR(IF(Table2B.4_AQ_Dollars[[#This Row],[Year]]&gt;Closeout,(E110*INDEX(TableA6_Emissions[#All],MATCH(Table2B.4_AQ_Dollars[[#This Row],[Year]],TableA6_Emissions[Year],0),MATCH(Table2B.4_AQ_Dollars[[#Headers],[PM2.5]],TableA6_Emissions[#Headers],0))),0),0)</f>
        <v>1815.1999999998002</v>
      </c>
      <c r="F151" s="163">
        <f>IFERROR(IF(Table2B.4_AQ_Dollars[[#This Row],[Year]]&gt;Closeout,F110*INDEX(TableA6_Emissions[#All],MATCH(Table2B.4_AQ_Dollars[[#This Row],[Year]],TableA6_Emissions[Year],0),MATCH(Table2B.4_AQ_Dollars[[#Headers],[CO2]],TableA6_Emissions[#Headers],0)),0),0)</f>
        <v>18917.599999999802</v>
      </c>
      <c r="G151" s="163">
        <f>IFERROR(G110*INDEX(TableA6_Emissions[#All],MATCH(Table2B.4_AQ_Dollars[[#This Row],[Year]],TableA6_Emissions[Year],0),MATCH(Table2B.4_AQ_Dollars[[#Headers],[PM10]],TableA6_Emissions[#Headers],0)),0)</f>
        <v>0</v>
      </c>
      <c r="H151" s="163">
        <f>IFERROR(H110*INDEX(TableA6_Emissions[#All],MATCH(Table2B.4_AQ_Dollars[[#This Row],[Year]],TableA6_Emissions[Year],0),MATCH(Table2B.4_AQ_Dollars[[#Headers],[VOC]],TableA6_Emissions[#Headers],0)),0)</f>
        <v>0</v>
      </c>
      <c r="I151" s="163">
        <f>SUM(Table2B.4_AQ_Dollars[[#This Row],[NOX]:[VOC]])</f>
        <v>24264.399999999561</v>
      </c>
    </row>
    <row r="152" spans="2:9">
      <c r="B152" s="135">
        <f>First_Year+'Appendix B. Project Info'!B32</f>
        <v>2035</v>
      </c>
      <c r="C152" s="163">
        <f>IFERROR(IF(Table2B.4_AQ_Dollars[[#This Row],[Year]]&gt;Closeout,(C111*INDEX(TableA6_Emissions[#All],MATCH(Table2B.4_AQ_Dollars[[#This Row],[Year]],TableA6_Emissions[Year],0),MATCH(Table2B.4_AQ_Dollars[[#Headers],[NOX]],TableA6_Emissions[#Headers],0))),0),0)</f>
        <v>3313.7999999999538</v>
      </c>
      <c r="D152" s="163">
        <f>IFERROR(IF(Table2B.4_AQ_Dollars[[#This Row],[Year]]&gt;Closeout,(D111*INDEX(TableA6_Emissions[#All],MATCH(Table2B.4_AQ_Dollars[[#This Row],[Year]],TableA6_Emissions[Year],0),MATCH(Table2B.4_AQ_Dollars[[#Headers],[SOx]],TableA6_Emissions[#Headers],0))),0),0)</f>
        <v>213.74999999999852</v>
      </c>
      <c r="E152" s="163">
        <f>IFERROR(IF(Table2B.4_AQ_Dollars[[#This Row],[Year]]&gt;Closeout,(E111*INDEX(TableA6_Emissions[#All],MATCH(Table2B.4_AQ_Dollars[[#This Row],[Year]],TableA6_Emissions[Year],0),MATCH(Table2B.4_AQ_Dollars[[#Headers],[PM2.5]],TableA6_Emissions[#Headers],0))),0),0)</f>
        <v>2117.7333333331003</v>
      </c>
      <c r="F152" s="163">
        <f>IFERROR(IF(Table2B.4_AQ_Dollars[[#This Row],[Year]]&gt;Closeout,F111*INDEX(TableA6_Emissions[#All],MATCH(Table2B.4_AQ_Dollars[[#This Row],[Year]],TableA6_Emissions[Year],0),MATCH(Table2B.4_AQ_Dollars[[#Headers],[CO2]],TableA6_Emissions[#Headers],0)),0),0)</f>
        <v>19819.099999999766</v>
      </c>
      <c r="G152" s="163">
        <f>IFERROR(G111*INDEX(TableA6_Emissions[#All],MATCH(Table2B.4_AQ_Dollars[[#This Row],[Year]],TableA6_Emissions[Year],0),MATCH(Table2B.4_AQ_Dollars[[#Headers],[PM10]],TableA6_Emissions[#Headers],0)),0)</f>
        <v>0</v>
      </c>
      <c r="H152" s="163">
        <f>IFERROR(H111*INDEX(TableA6_Emissions[#All],MATCH(Table2B.4_AQ_Dollars[[#This Row],[Year]],TableA6_Emissions[Year],0),MATCH(Table2B.4_AQ_Dollars[[#Headers],[VOC]],TableA6_Emissions[#Headers],0)),0)</f>
        <v>0</v>
      </c>
      <c r="I152" s="163">
        <f>SUM(Table2B.4_AQ_Dollars[[#This Row],[NOX]:[VOC]])</f>
        <v>25464.383333332818</v>
      </c>
    </row>
    <row r="153" spans="2:9">
      <c r="B153" s="135">
        <f>First_Year+'Appendix B. Project Info'!B33</f>
        <v>2036</v>
      </c>
      <c r="C153" s="163">
        <f>IFERROR(IF(Table2B.4_AQ_Dollars[[#This Row],[Year]]&gt;Closeout,(C112*INDEX(TableA6_Emissions[#All],MATCH(Table2B.4_AQ_Dollars[[#This Row],[Year]],TableA6_Emissions[Year],0),MATCH(Table2B.4_AQ_Dollars[[#Headers],[NOX]],TableA6_Emissions[#Headers],0))),0),0)</f>
        <v>3301.1999999999471</v>
      </c>
      <c r="D153" s="163">
        <f>IFERROR(IF(Table2B.4_AQ_Dollars[[#This Row],[Year]]&gt;Closeout,(D112*INDEX(TableA6_Emissions[#All],MATCH(Table2B.4_AQ_Dollars[[#This Row],[Year]],TableA6_Emissions[Year],0),MATCH(Table2B.4_AQ_Dollars[[#Headers],[SOx]],TableA6_Emissions[#Headers],0))),0),0)</f>
        <v>222.29999999999831</v>
      </c>
      <c r="E153" s="163">
        <f>IFERROR(IF(Table2B.4_AQ_Dollars[[#This Row],[Year]]&gt;Closeout,(E112*INDEX(TableA6_Emissions[#All],MATCH(Table2B.4_AQ_Dollars[[#This Row],[Year]],TableA6_Emissions[Year],0),MATCH(Table2B.4_AQ_Dollars[[#Headers],[PM2.5]],TableA6_Emissions[#Headers],0))),0),0)</f>
        <v>2420.2666666663999</v>
      </c>
      <c r="F153" s="163">
        <f>IFERROR(IF(Table2B.4_AQ_Dollars[[#This Row],[Year]]&gt;Closeout,F112*INDEX(TableA6_Emissions[#All],MATCH(Table2B.4_AQ_Dollars[[#This Row],[Year]],TableA6_Emissions[Year],0),MATCH(Table2B.4_AQ_Dollars[[#Headers],[CO2]],TableA6_Emissions[#Headers],0)),0),0)</f>
        <v>20738.666666666395</v>
      </c>
      <c r="G153" s="163">
        <f>IFERROR(G112*INDEX(TableA6_Emissions[#All],MATCH(Table2B.4_AQ_Dollars[[#This Row],[Year]],TableA6_Emissions[Year],0),MATCH(Table2B.4_AQ_Dollars[[#Headers],[PM10]],TableA6_Emissions[#Headers],0)),0)</f>
        <v>0</v>
      </c>
      <c r="H153" s="163">
        <f>IFERROR(H112*INDEX(TableA6_Emissions[#All],MATCH(Table2B.4_AQ_Dollars[[#This Row],[Year]],TableA6_Emissions[Year],0),MATCH(Table2B.4_AQ_Dollars[[#Headers],[VOC]],TableA6_Emissions[#Headers],0)),0)</f>
        <v>0</v>
      </c>
      <c r="I153" s="163">
        <f>SUM(Table2B.4_AQ_Dollars[[#This Row],[NOX]:[VOC]])</f>
        <v>26682.433333332741</v>
      </c>
    </row>
    <row r="154" spans="2:9">
      <c r="B154" s="135">
        <f>First_Year+'Appendix B. Project Info'!B34</f>
        <v>2037</v>
      </c>
      <c r="C154" s="163">
        <f>IFERROR(IF(Table2B.4_AQ_Dollars[[#This Row],[Year]]&gt;Closeout,(C113*INDEX(TableA6_Emissions[#All],MATCH(Table2B.4_AQ_Dollars[[#This Row],[Year]],TableA6_Emissions[Year],0),MATCH(Table2B.4_AQ_Dollars[[#Headers],[NOX]],TableA6_Emissions[#Headers],0))),0),0)</f>
        <v>3288.5999999999399</v>
      </c>
      <c r="D154" s="163">
        <f>IFERROR(IF(Table2B.4_AQ_Dollars[[#This Row],[Year]]&gt;Closeout,(D113*INDEX(TableA6_Emissions[#All],MATCH(Table2B.4_AQ_Dollars[[#This Row],[Year]],TableA6_Emissions[Year],0),MATCH(Table2B.4_AQ_Dollars[[#Headers],[SOx]],TableA6_Emissions[#Headers],0))),0),0)</f>
        <v>230.84999999999806</v>
      </c>
      <c r="E154" s="163">
        <f>IFERROR(IF(Table2B.4_AQ_Dollars[[#This Row],[Year]]&gt;Closeout,(E113*INDEX(TableA6_Emissions[#All],MATCH(Table2B.4_AQ_Dollars[[#This Row],[Year]],TableA6_Emissions[Year],0),MATCH(Table2B.4_AQ_Dollars[[#Headers],[PM2.5]],TableA6_Emissions[#Headers],0))),0),0)</f>
        <v>2722.7999999997</v>
      </c>
      <c r="F154" s="163">
        <f>IFERROR(IF(Table2B.4_AQ_Dollars[[#This Row],[Year]]&gt;Closeout,F113*INDEX(TableA6_Emissions[#All],MATCH(Table2B.4_AQ_Dollars[[#This Row],[Year]],TableA6_Emissions[Year],0),MATCH(Table2B.4_AQ_Dollars[[#Headers],[CO2]],TableA6_Emissions[#Headers],0)),0),0)</f>
        <v>21981.599999999686</v>
      </c>
      <c r="G154" s="163">
        <f>IFERROR(G113*INDEX(TableA6_Emissions[#All],MATCH(Table2B.4_AQ_Dollars[[#This Row],[Year]],TableA6_Emissions[Year],0),MATCH(Table2B.4_AQ_Dollars[[#Headers],[PM10]],TableA6_Emissions[#Headers],0)),0)</f>
        <v>0</v>
      </c>
      <c r="H154" s="163">
        <f>IFERROR(H113*INDEX(TableA6_Emissions[#All],MATCH(Table2B.4_AQ_Dollars[[#This Row],[Year]],TableA6_Emissions[Year],0),MATCH(Table2B.4_AQ_Dollars[[#Headers],[VOC]],TableA6_Emissions[#Headers],0)),0)</f>
        <v>0</v>
      </c>
      <c r="I154" s="163">
        <f>SUM(Table2B.4_AQ_Dollars[[#This Row],[NOX]:[VOC]])</f>
        <v>28223.849999999322</v>
      </c>
    </row>
    <row r="155" spans="2:9">
      <c r="B155" s="135">
        <f>First_Year+'Appendix B. Project Info'!B35</f>
        <v>2038</v>
      </c>
      <c r="C155" s="163">
        <f>IFERROR(IF(Table2B.4_AQ_Dollars[[#This Row],[Year]]&gt;Closeout,(C114*INDEX(TableA6_Emissions[#All],MATCH(Table2B.4_AQ_Dollars[[#This Row],[Year]],TableA6_Emissions[Year],0),MATCH(Table2B.4_AQ_Dollars[[#Headers],[NOX]],TableA6_Emissions[#Headers],0))),0),0)</f>
        <v>3275.9999999999332</v>
      </c>
      <c r="D155" s="163">
        <f>IFERROR(IF(Table2B.4_AQ_Dollars[[#This Row],[Year]]&gt;Closeout,(D114*INDEX(TableA6_Emissions[#All],MATCH(Table2B.4_AQ_Dollars[[#This Row],[Year]],TableA6_Emissions[Year],0),MATCH(Table2B.4_AQ_Dollars[[#Headers],[SOx]],TableA6_Emissions[#Headers],0))),0),0)</f>
        <v>239.39999999999785</v>
      </c>
      <c r="E155" s="163">
        <f>IFERROR(IF(Table2B.4_AQ_Dollars[[#This Row],[Year]]&gt;Closeout,(E114*INDEX(TableA6_Emissions[#All],MATCH(Table2B.4_AQ_Dollars[[#This Row],[Year]],TableA6_Emissions[Year],0),MATCH(Table2B.4_AQ_Dollars[[#Headers],[PM2.5]],TableA6_Emissions[#Headers],0))),0),0)</f>
        <v>3025.3333333330002</v>
      </c>
      <c r="F155" s="163">
        <f>IFERROR(IF(Table2B.4_AQ_Dollars[[#This Row],[Year]]&gt;Closeout,F114*INDEX(TableA6_Emissions[#All],MATCH(Table2B.4_AQ_Dollars[[#This Row],[Year]],TableA6_Emissions[Year],0),MATCH(Table2B.4_AQ_Dollars[[#Headers],[CO2]],TableA6_Emissions[#Headers],0)),0),0)</f>
        <v>22946.333333332979</v>
      </c>
      <c r="G155" s="163">
        <f>IFERROR(G114*INDEX(TableA6_Emissions[#All],MATCH(Table2B.4_AQ_Dollars[[#This Row],[Year]],TableA6_Emissions[Year],0),MATCH(Table2B.4_AQ_Dollars[[#Headers],[PM10]],TableA6_Emissions[#Headers],0)),0)</f>
        <v>0</v>
      </c>
      <c r="H155" s="163">
        <f>IFERROR(H114*INDEX(TableA6_Emissions[#All],MATCH(Table2B.4_AQ_Dollars[[#This Row],[Year]],TableA6_Emissions[Year],0),MATCH(Table2B.4_AQ_Dollars[[#Headers],[VOC]],TableA6_Emissions[#Headers],0)),0)</f>
        <v>0</v>
      </c>
      <c r="I155" s="163">
        <f>SUM(Table2B.4_AQ_Dollars[[#This Row],[NOX]:[VOC]])</f>
        <v>29487.066666665909</v>
      </c>
    </row>
    <row r="156" spans="2:9">
      <c r="B156" s="135">
        <f>First_Year+'Appendix B. Project Info'!B36</f>
        <v>2039</v>
      </c>
      <c r="C156" s="163">
        <f>IFERROR(IF(Table2B.4_AQ_Dollars[[#This Row],[Year]]&gt;Closeout,(C115*INDEX(TableA6_Emissions[#All],MATCH(Table2B.4_AQ_Dollars[[#This Row],[Year]],TableA6_Emissions[Year],0),MATCH(Table2B.4_AQ_Dollars[[#Headers],[NOX]],TableA6_Emissions[#Headers],0))),0),0)</f>
        <v>3263.399999999926</v>
      </c>
      <c r="D156" s="163">
        <f>IFERROR(IF(Table2B.4_AQ_Dollars[[#This Row],[Year]]&gt;Closeout,(D115*INDEX(TableA6_Emissions[#All],MATCH(Table2B.4_AQ_Dollars[[#This Row],[Year]],TableA6_Emissions[Year],0),MATCH(Table2B.4_AQ_Dollars[[#Headers],[SOx]],TableA6_Emissions[#Headers],0))),0),0)</f>
        <v>247.9499999999976</v>
      </c>
      <c r="E156" s="163">
        <f>IFERROR(IF(Table2B.4_AQ_Dollars[[#This Row],[Year]]&gt;Closeout,(E115*INDEX(TableA6_Emissions[#All],MATCH(Table2B.4_AQ_Dollars[[#This Row],[Year]],TableA6_Emissions[Year],0),MATCH(Table2B.4_AQ_Dollars[[#Headers],[PM2.5]],TableA6_Emissions[#Headers],0))),0),0)</f>
        <v>3327.8666666663003</v>
      </c>
      <c r="F156" s="163">
        <f>IFERROR(IF(Table2B.4_AQ_Dollars[[#This Row],[Year]]&gt;Closeout,F115*INDEX(TableA6_Emissions[#All],MATCH(Table2B.4_AQ_Dollars[[#This Row],[Year]],TableA6_Emissions[Year],0),MATCH(Table2B.4_AQ_Dollars[[#Headers],[CO2]],TableA6_Emissions[#Headers],0)),0),0)</f>
        <v>23929.133333332938</v>
      </c>
      <c r="G156" s="163">
        <f>IFERROR(G115*INDEX(TableA6_Emissions[#All],MATCH(Table2B.4_AQ_Dollars[[#This Row],[Year]],TableA6_Emissions[Year],0),MATCH(Table2B.4_AQ_Dollars[[#Headers],[PM10]],TableA6_Emissions[#Headers],0)),0)</f>
        <v>0</v>
      </c>
      <c r="H156" s="163">
        <f>IFERROR(H115*INDEX(TableA6_Emissions[#All],MATCH(Table2B.4_AQ_Dollars[[#This Row],[Year]],TableA6_Emissions[Year],0),MATCH(Table2B.4_AQ_Dollars[[#Headers],[VOC]],TableA6_Emissions[#Headers],0)),0)</f>
        <v>0</v>
      </c>
      <c r="I156" s="163">
        <f>SUM(Table2B.4_AQ_Dollars[[#This Row],[NOX]:[VOC]])</f>
        <v>30768.349999999162</v>
      </c>
    </row>
    <row r="157" spans="2:9">
      <c r="B157" s="135">
        <f>First_Year+'Appendix B. Project Info'!B37</f>
        <v>2040</v>
      </c>
      <c r="C157" s="163">
        <f>IFERROR(IF(Table2B.4_AQ_Dollars[[#This Row],[Year]]&gt;Closeout,(C116*INDEX(TableA6_Emissions[#All],MATCH(Table2B.4_AQ_Dollars[[#This Row],[Year]],TableA6_Emissions[Year],0),MATCH(Table2B.4_AQ_Dollars[[#Headers],[NOX]],TableA6_Emissions[#Headers],0))),0),0)</f>
        <v>3250.7999999999188</v>
      </c>
      <c r="D157" s="163">
        <f>IFERROR(IF(Table2B.4_AQ_Dollars[[#This Row],[Year]]&gt;Closeout,(D116*INDEX(TableA6_Emissions[#All],MATCH(Table2B.4_AQ_Dollars[[#This Row],[Year]],TableA6_Emissions[Year],0),MATCH(Table2B.4_AQ_Dollars[[#Headers],[SOx]],TableA6_Emissions[#Headers],0))),0),0)</f>
        <v>256.49999999999739</v>
      </c>
      <c r="E157" s="163">
        <f>IFERROR(IF(Table2B.4_AQ_Dollars[[#This Row],[Year]]&gt;Closeout,(E116*INDEX(TableA6_Emissions[#All],MATCH(Table2B.4_AQ_Dollars[[#This Row],[Year]],TableA6_Emissions[Year],0),MATCH(Table2B.4_AQ_Dollars[[#Headers],[PM2.5]],TableA6_Emissions[#Headers],0))),0),0)</f>
        <v>3630.3999999996004</v>
      </c>
      <c r="F157" s="163">
        <f>IFERROR(IF(Table2B.4_AQ_Dollars[[#This Row],[Year]]&gt;Closeout,F116*INDEX(TableA6_Emissions[#All],MATCH(Table2B.4_AQ_Dollars[[#This Row],[Year]],TableA6_Emissions[Year],0),MATCH(Table2B.4_AQ_Dollars[[#Headers],[CO2]],TableA6_Emissions[#Headers],0)),0),0)</f>
        <v>24929.999999999563</v>
      </c>
      <c r="G157" s="163">
        <f>IFERROR(G116*INDEX(TableA6_Emissions[#All],MATCH(Table2B.4_AQ_Dollars[[#This Row],[Year]],TableA6_Emissions[Year],0),MATCH(Table2B.4_AQ_Dollars[[#Headers],[PM10]],TableA6_Emissions[#Headers],0)),0)</f>
        <v>0</v>
      </c>
      <c r="H157" s="163">
        <f>IFERROR(H116*INDEX(TableA6_Emissions[#All],MATCH(Table2B.4_AQ_Dollars[[#This Row],[Year]],TableA6_Emissions[Year],0),MATCH(Table2B.4_AQ_Dollars[[#Headers],[VOC]],TableA6_Emissions[#Headers],0)),0)</f>
        <v>0</v>
      </c>
      <c r="I157" s="163">
        <f>SUM(Table2B.4_AQ_Dollars[[#This Row],[NOX]:[VOC]])</f>
        <v>32067.69999999908</v>
      </c>
    </row>
    <row r="158" spans="2:9">
      <c r="B158" s="135">
        <f>First_Year+'Appendix B. Project Info'!B38</f>
        <v>2041</v>
      </c>
      <c r="C158" s="163">
        <f>IFERROR(IF(Table2B.4_AQ_Dollars[[#This Row],[Year]]&gt;Closeout,(C117*INDEX(TableA6_Emissions[#All],MATCH(Table2B.4_AQ_Dollars[[#This Row],[Year]],TableA6_Emissions[Year],0),MATCH(Table2B.4_AQ_Dollars[[#Headers],[NOX]],TableA6_Emissions[#Headers],0))),0),0)</f>
        <v>3238.1999999999121</v>
      </c>
      <c r="D158" s="163">
        <f>IFERROR(IF(Table2B.4_AQ_Dollars[[#This Row],[Year]]&gt;Closeout,(D117*INDEX(TableA6_Emissions[#All],MATCH(Table2B.4_AQ_Dollars[[#This Row],[Year]],TableA6_Emissions[Year],0),MATCH(Table2B.4_AQ_Dollars[[#Headers],[SOx]],TableA6_Emissions[#Headers],0))),0),0)</f>
        <v>265.04999999999717</v>
      </c>
      <c r="E158" s="163">
        <f>IFERROR(IF(Table2B.4_AQ_Dollars[[#This Row],[Year]]&gt;Closeout,(E117*INDEX(TableA6_Emissions[#All],MATCH(Table2B.4_AQ_Dollars[[#This Row],[Year]],TableA6_Emissions[Year],0),MATCH(Table2B.4_AQ_Dollars[[#Headers],[PM2.5]],TableA6_Emissions[#Headers],0))),0),0)</f>
        <v>3932.9333333329</v>
      </c>
      <c r="F158" s="163">
        <f>IFERROR(IF(Table2B.4_AQ_Dollars[[#This Row],[Year]]&gt;Closeout,F117*INDEX(TableA6_Emissions[#All],MATCH(Table2B.4_AQ_Dollars[[#This Row],[Year]],TableA6_Emissions[Year],0),MATCH(Table2B.4_AQ_Dollars[[#Headers],[CO2]],TableA6_Emissions[#Headers],0)),0),0)</f>
        <v>25948.933333332854</v>
      </c>
      <c r="G158" s="163">
        <f>IFERROR(G117*INDEX(TableA6_Emissions[#All],MATCH(Table2B.4_AQ_Dollars[[#This Row],[Year]],TableA6_Emissions[Year],0),MATCH(Table2B.4_AQ_Dollars[[#Headers],[PM10]],TableA6_Emissions[#Headers],0)),0)</f>
        <v>0</v>
      </c>
      <c r="H158" s="163">
        <f>IFERROR(H117*INDEX(TableA6_Emissions[#All],MATCH(Table2B.4_AQ_Dollars[[#This Row],[Year]],TableA6_Emissions[Year],0),MATCH(Table2B.4_AQ_Dollars[[#Headers],[VOC]],TableA6_Emissions[#Headers],0)),0)</f>
        <v>0</v>
      </c>
      <c r="I158" s="163">
        <f>SUM(Table2B.4_AQ_Dollars[[#This Row],[NOX]:[VOC]])</f>
        <v>33385.116666665665</v>
      </c>
    </row>
    <row r="159" spans="2:9">
      <c r="B159" s="135">
        <f>First_Year+'Appendix B. Project Info'!B39</f>
        <v>2042</v>
      </c>
      <c r="C159" s="163">
        <f>IFERROR(IF(Table2B.4_AQ_Dollars[[#This Row],[Year]]&gt;Closeout,(C118*INDEX(TableA6_Emissions[#All],MATCH(Table2B.4_AQ_Dollars[[#This Row],[Year]],TableA6_Emissions[Year],0),MATCH(Table2B.4_AQ_Dollars[[#Headers],[NOX]],TableA6_Emissions[#Headers],0))),0),0)</f>
        <v>3225.5999999999049</v>
      </c>
      <c r="D159" s="163">
        <f>IFERROR(IF(Table2B.4_AQ_Dollars[[#This Row],[Year]]&gt;Closeout,(D118*INDEX(TableA6_Emissions[#All],MATCH(Table2B.4_AQ_Dollars[[#This Row],[Year]],TableA6_Emissions[Year],0),MATCH(Table2B.4_AQ_Dollars[[#Headers],[SOx]],TableA6_Emissions[#Headers],0))),0),0)</f>
        <v>273.5999999999969</v>
      </c>
      <c r="E159" s="163">
        <f>IFERROR(IF(Table2B.4_AQ_Dollars[[#This Row],[Year]]&gt;Closeout,(E118*INDEX(TableA6_Emissions[#All],MATCH(Table2B.4_AQ_Dollars[[#This Row],[Year]],TableA6_Emissions[Year],0),MATCH(Table2B.4_AQ_Dollars[[#Headers],[PM2.5]],TableA6_Emissions[#Headers],0))),0),0)</f>
        <v>4235.4666666662006</v>
      </c>
      <c r="F159" s="163">
        <f>IFERROR(IF(Table2B.4_AQ_Dollars[[#This Row],[Year]]&gt;Closeout,F118*INDEX(TableA6_Emissions[#All],MATCH(Table2B.4_AQ_Dollars[[#This Row],[Year]],TableA6_Emissions[Year],0),MATCH(Table2B.4_AQ_Dollars[[#Headers],[CO2]],TableA6_Emissions[#Headers],0)),0),0)</f>
        <v>27336.39999999947</v>
      </c>
      <c r="G159" s="163">
        <f>IFERROR(G118*INDEX(TableA6_Emissions[#All],MATCH(Table2B.4_AQ_Dollars[[#This Row],[Year]],TableA6_Emissions[Year],0),MATCH(Table2B.4_AQ_Dollars[[#Headers],[PM10]],TableA6_Emissions[#Headers],0)),0)</f>
        <v>0</v>
      </c>
      <c r="H159" s="163">
        <f>IFERROR(H118*INDEX(TableA6_Emissions[#All],MATCH(Table2B.4_AQ_Dollars[[#This Row],[Year]],TableA6_Emissions[Year],0),MATCH(Table2B.4_AQ_Dollars[[#Headers],[VOC]],TableA6_Emissions[#Headers],0)),0)</f>
        <v>0</v>
      </c>
      <c r="I159" s="163">
        <f>SUM(Table2B.4_AQ_Dollars[[#This Row],[NOX]:[VOC]])</f>
        <v>35071.066666665574</v>
      </c>
    </row>
    <row r="160" spans="2:9">
      <c r="B160" s="135">
        <f>First_Year+'Appendix B. Project Info'!B40</f>
        <v>2043</v>
      </c>
      <c r="C160" s="163">
        <f>IFERROR(IF(Table2B.4_AQ_Dollars[[#This Row],[Year]]&gt;Closeout,(C119*INDEX(TableA6_Emissions[#All],MATCH(Table2B.4_AQ_Dollars[[#This Row],[Year]],TableA6_Emissions[Year],0),MATCH(Table2B.4_AQ_Dollars[[#Headers],[NOX]],TableA6_Emissions[#Headers],0))),0),0)</f>
        <v>3212.9999999998981</v>
      </c>
      <c r="D160" s="163">
        <f>IFERROR(IF(Table2B.4_AQ_Dollars[[#This Row],[Year]]&gt;Closeout,(D119*INDEX(TableA6_Emissions[#All],MATCH(Table2B.4_AQ_Dollars[[#This Row],[Year]],TableA6_Emissions[Year],0),MATCH(Table2B.4_AQ_Dollars[[#Headers],[SOx]],TableA6_Emissions[#Headers],0))),0),0)</f>
        <v>282.14999999999668</v>
      </c>
      <c r="E160" s="163">
        <f>IFERROR(IF(Table2B.4_AQ_Dollars[[#This Row],[Year]]&gt;Closeout,(E119*INDEX(TableA6_Emissions[#All],MATCH(Table2B.4_AQ_Dollars[[#This Row],[Year]],TableA6_Emissions[Year],0),MATCH(Table2B.4_AQ_Dollars[[#Headers],[PM2.5]],TableA6_Emissions[#Headers],0))),0),0)</f>
        <v>4537.9999999994998</v>
      </c>
      <c r="F160" s="163">
        <f>IFERROR(IF(Table2B.4_AQ_Dollars[[#This Row],[Year]]&gt;Closeout,F119*INDEX(TableA6_Emissions[#All],MATCH(Table2B.4_AQ_Dollars[[#This Row],[Year]],TableA6_Emissions[Year],0),MATCH(Table2B.4_AQ_Dollars[[#Headers],[CO2]],TableA6_Emissions[#Headers],0)),0),0)</f>
        <v>28400.499999999425</v>
      </c>
      <c r="G160" s="163">
        <f>IFERROR(G119*INDEX(TableA6_Emissions[#All],MATCH(Table2B.4_AQ_Dollars[[#This Row],[Year]],TableA6_Emissions[Year],0),MATCH(Table2B.4_AQ_Dollars[[#Headers],[PM10]],TableA6_Emissions[#Headers],0)),0)</f>
        <v>0</v>
      </c>
      <c r="H160" s="163">
        <f>IFERROR(H119*INDEX(TableA6_Emissions[#All],MATCH(Table2B.4_AQ_Dollars[[#This Row],[Year]],TableA6_Emissions[Year],0),MATCH(Table2B.4_AQ_Dollars[[#Headers],[VOC]],TableA6_Emissions[#Headers],0)),0)</f>
        <v>0</v>
      </c>
      <c r="I160" s="163">
        <f>SUM(Table2B.4_AQ_Dollars[[#This Row],[NOX]:[VOC]])</f>
        <v>36433.649999998823</v>
      </c>
    </row>
    <row r="161" spans="2:9">
      <c r="B161" s="135">
        <f>First_Year+'Appendix B. Project Info'!B41</f>
        <v>2044</v>
      </c>
      <c r="C161" s="163">
        <f>IFERROR(IF(Table2B.4_AQ_Dollars[[#This Row],[Year]]&gt;Closeout,(C120*INDEX(TableA6_Emissions[#All],MATCH(Table2B.4_AQ_Dollars[[#This Row],[Year]],TableA6_Emissions[Year],0),MATCH(Table2B.4_AQ_Dollars[[#Headers],[NOX]],TableA6_Emissions[#Headers],0))),0),0)</f>
        <v>3200.399999999891</v>
      </c>
      <c r="D161" s="163">
        <f>IFERROR(IF(Table2B.4_AQ_Dollars[[#This Row],[Year]]&gt;Closeout,(D120*INDEX(TableA6_Emissions[#All],MATCH(Table2B.4_AQ_Dollars[[#This Row],[Year]],TableA6_Emissions[Year],0),MATCH(Table2B.4_AQ_Dollars[[#Headers],[SOx]],TableA6_Emissions[#Headers],0))),0),0)</f>
        <v>290.69999999999646</v>
      </c>
      <c r="E161" s="163">
        <f>IFERROR(IF(Table2B.4_AQ_Dollars[[#This Row],[Year]]&gt;Closeout,(E120*INDEX(TableA6_Emissions[#All],MATCH(Table2B.4_AQ_Dollars[[#This Row],[Year]],TableA6_Emissions[Year],0),MATCH(Table2B.4_AQ_Dollars[[#Headers],[PM2.5]],TableA6_Emissions[#Headers],0))),0),0)</f>
        <v>4840.5333333327999</v>
      </c>
      <c r="F161" s="163">
        <f>IFERROR(IF(Table2B.4_AQ_Dollars[[#This Row],[Year]]&gt;Closeout,F120*INDEX(TableA6_Emissions[#All],MATCH(Table2B.4_AQ_Dollars[[#This Row],[Year]],TableA6_Emissions[Year],0),MATCH(Table2B.4_AQ_Dollars[[#Headers],[CO2]],TableA6_Emissions[#Headers],0)),0),0)</f>
        <v>29482.666666666046</v>
      </c>
      <c r="G161" s="163">
        <f>IFERROR(G120*INDEX(TableA6_Emissions[#All],MATCH(Table2B.4_AQ_Dollars[[#This Row],[Year]],TableA6_Emissions[Year],0),MATCH(Table2B.4_AQ_Dollars[[#Headers],[PM10]],TableA6_Emissions[#Headers],0)),0)</f>
        <v>0</v>
      </c>
      <c r="H161" s="163">
        <f>IFERROR(H120*INDEX(TableA6_Emissions[#All],MATCH(Table2B.4_AQ_Dollars[[#This Row],[Year]],TableA6_Emissions[Year],0),MATCH(Table2B.4_AQ_Dollars[[#Headers],[VOC]],TableA6_Emissions[#Headers],0)),0)</f>
        <v>0</v>
      </c>
      <c r="I161" s="163">
        <f>SUM(Table2B.4_AQ_Dollars[[#This Row],[NOX]:[VOC]])</f>
        <v>37814.299999998737</v>
      </c>
    </row>
    <row r="162" spans="2:9">
      <c r="B162" s="135">
        <f>First_Year+'Appendix B. Project Info'!B42</f>
        <v>2045</v>
      </c>
      <c r="C162" s="163">
        <f>IFERROR(IF(Table2B.4_AQ_Dollars[[#This Row],[Year]]&gt;Closeout,(C121*INDEX(TableA6_Emissions[#All],MATCH(Table2B.4_AQ_Dollars[[#This Row],[Year]],TableA6_Emissions[Year],0),MATCH(Table2B.4_AQ_Dollars[[#Headers],[NOX]],TableA6_Emissions[#Headers],0))),0),0)</f>
        <v>3187.7999999998838</v>
      </c>
      <c r="D162" s="163">
        <f>IFERROR(IF(Table2B.4_AQ_Dollars[[#This Row],[Year]]&gt;Closeout,(D121*INDEX(TableA6_Emissions[#All],MATCH(Table2B.4_AQ_Dollars[[#This Row],[Year]],TableA6_Emissions[Year],0),MATCH(Table2B.4_AQ_Dollars[[#Headers],[SOx]],TableA6_Emissions[#Headers],0))),0),0)</f>
        <v>299.24999999999625</v>
      </c>
      <c r="E162" s="163">
        <f>IFERROR(IF(Table2B.4_AQ_Dollars[[#This Row],[Year]]&gt;Closeout,(E121*INDEX(TableA6_Emissions[#All],MATCH(Table2B.4_AQ_Dollars[[#This Row],[Year]],TableA6_Emissions[Year],0),MATCH(Table2B.4_AQ_Dollars[[#Headers],[PM2.5]],TableA6_Emissions[#Headers],0))),0),0)</f>
        <v>5143.0666666661</v>
      </c>
      <c r="F162" s="163">
        <f>IFERROR(IF(Table2B.4_AQ_Dollars[[#This Row],[Year]]&gt;Closeout,F121*INDEX(TableA6_Emissions[#All],MATCH(Table2B.4_AQ_Dollars[[#This Row],[Year]],TableA6_Emissions[Year],0),MATCH(Table2B.4_AQ_Dollars[[#Headers],[CO2]],TableA6_Emissions[#Headers],0)),0),0)</f>
        <v>30582.899999999332</v>
      </c>
      <c r="G162" s="163">
        <f>IFERROR(G121*INDEX(TableA6_Emissions[#All],MATCH(Table2B.4_AQ_Dollars[[#This Row],[Year]],TableA6_Emissions[Year],0),MATCH(Table2B.4_AQ_Dollars[[#Headers],[PM10]],TableA6_Emissions[#Headers],0)),0)</f>
        <v>0</v>
      </c>
      <c r="H162" s="163">
        <f>IFERROR(H121*INDEX(TableA6_Emissions[#All],MATCH(Table2B.4_AQ_Dollars[[#This Row],[Year]],TableA6_Emissions[Year],0),MATCH(Table2B.4_AQ_Dollars[[#Headers],[VOC]],TableA6_Emissions[#Headers],0)),0)</f>
        <v>0</v>
      </c>
      <c r="I162" s="163">
        <f>SUM(Table2B.4_AQ_Dollars[[#This Row],[NOX]:[VOC]])</f>
        <v>39213.016666665309</v>
      </c>
    </row>
    <row r="163" spans="2:9">
      <c r="B163" s="135">
        <f>First_Year+'Appendix B. Project Info'!B43</f>
        <v>2046</v>
      </c>
      <c r="C163" s="163">
        <f>IFERROR(IF(Table2B.4_AQ_Dollars[[#This Row],[Year]]&gt;Closeout,(C122*INDEX(TableA6_Emissions[#All],MATCH(Table2B.4_AQ_Dollars[[#This Row],[Year]],TableA6_Emissions[Year],0),MATCH(Table2B.4_AQ_Dollars[[#Headers],[NOX]],TableA6_Emissions[#Headers],0))),0),0)</f>
        <v>3175.199999999877</v>
      </c>
      <c r="D163" s="163">
        <f>IFERROR(IF(Table2B.4_AQ_Dollars[[#This Row],[Year]]&gt;Closeout,(D122*INDEX(TableA6_Emissions[#All],MATCH(Table2B.4_AQ_Dollars[[#This Row],[Year]],TableA6_Emissions[Year],0),MATCH(Table2B.4_AQ_Dollars[[#Headers],[SOx]],TableA6_Emissions[#Headers],0))),0),0)</f>
        <v>307.79999999999598</v>
      </c>
      <c r="E163" s="163">
        <f>IFERROR(IF(Table2B.4_AQ_Dollars[[#This Row],[Year]]&gt;Closeout,(E122*INDEX(TableA6_Emissions[#All],MATCH(Table2B.4_AQ_Dollars[[#This Row],[Year]],TableA6_Emissions[Year],0),MATCH(Table2B.4_AQ_Dollars[[#Headers],[PM2.5]],TableA6_Emissions[#Headers],0))),0),0)</f>
        <v>5445.5999999994001</v>
      </c>
      <c r="F163" s="163">
        <f>IFERROR(IF(Table2B.4_AQ_Dollars[[#This Row],[Year]]&gt;Closeout,F122*INDEX(TableA6_Emissions[#All],MATCH(Table2B.4_AQ_Dollars[[#This Row],[Year]],TableA6_Emissions[Year],0),MATCH(Table2B.4_AQ_Dollars[[#Headers],[CO2]],TableA6_Emissions[#Headers],0)),0),0)</f>
        <v>31701.199999999284</v>
      </c>
      <c r="G163" s="163">
        <f>IFERROR(G122*INDEX(TableA6_Emissions[#All],MATCH(Table2B.4_AQ_Dollars[[#This Row],[Year]],TableA6_Emissions[Year],0),MATCH(Table2B.4_AQ_Dollars[[#Headers],[PM10]],TableA6_Emissions[#Headers],0)),0)</f>
        <v>0</v>
      </c>
      <c r="H163" s="163">
        <f>IFERROR(H122*INDEX(TableA6_Emissions[#All],MATCH(Table2B.4_AQ_Dollars[[#This Row],[Year]],TableA6_Emissions[Year],0),MATCH(Table2B.4_AQ_Dollars[[#Headers],[VOC]],TableA6_Emissions[#Headers],0)),0)</f>
        <v>0</v>
      </c>
      <c r="I163" s="163">
        <f>SUM(Table2B.4_AQ_Dollars[[#This Row],[NOX]:[VOC]])</f>
        <v>40629.799999998555</v>
      </c>
    </row>
    <row r="164" spans="2:9">
      <c r="B164" s="135">
        <f>First_Year+'Appendix B. Project Info'!B44</f>
        <v>2047</v>
      </c>
      <c r="C164" s="163">
        <f>IFERROR(IF(Table2B.4_AQ_Dollars[[#This Row],[Year]]&gt;Closeout,(C123*INDEX(TableA6_Emissions[#All],MATCH(Table2B.4_AQ_Dollars[[#This Row],[Year]],TableA6_Emissions[Year],0),MATCH(Table2B.4_AQ_Dollars[[#Headers],[NOX]],TableA6_Emissions[#Headers],0))),0),0)</f>
        <v>3162.5999999998699</v>
      </c>
      <c r="D164" s="163">
        <f>IFERROR(IF(Table2B.4_AQ_Dollars[[#This Row],[Year]]&gt;Closeout,(D123*INDEX(TableA6_Emissions[#All],MATCH(Table2B.4_AQ_Dollars[[#This Row],[Year]],TableA6_Emissions[Year],0),MATCH(Table2B.4_AQ_Dollars[[#Headers],[SOx]],TableA6_Emissions[#Headers],0))),0),0)</f>
        <v>316.34999999999576</v>
      </c>
      <c r="E164" s="163">
        <f>IFERROR(IF(Table2B.4_AQ_Dollars[[#This Row],[Year]]&gt;Closeout,(E123*INDEX(TableA6_Emissions[#All],MATCH(Table2B.4_AQ_Dollars[[#This Row],[Year]],TableA6_Emissions[Year],0),MATCH(Table2B.4_AQ_Dollars[[#Headers],[PM2.5]],TableA6_Emissions[#Headers],0))),0),0)</f>
        <v>5748.1333333327257</v>
      </c>
      <c r="F164" s="163">
        <f>IFERROR(IF(Table2B.4_AQ_Dollars[[#This Row],[Year]]&gt;Closeout,F123*INDEX(TableA6_Emissions[#All],MATCH(Table2B.4_AQ_Dollars[[#This Row],[Year]],TableA6_Emissions[Year],0),MATCH(Table2B.4_AQ_Dollars[[#Headers],[CO2]],TableA6_Emissions[#Headers],0)),0),0)</f>
        <v>33233.199999999226</v>
      </c>
      <c r="G164" s="163">
        <f>IFERROR(G123*INDEX(TableA6_Emissions[#All],MATCH(Table2B.4_AQ_Dollars[[#This Row],[Year]],TableA6_Emissions[Year],0),MATCH(Table2B.4_AQ_Dollars[[#Headers],[PM10]],TableA6_Emissions[#Headers],0)),0)</f>
        <v>0</v>
      </c>
      <c r="H164" s="163">
        <f>IFERROR(H123*INDEX(TableA6_Emissions[#All],MATCH(Table2B.4_AQ_Dollars[[#This Row],[Year]],TableA6_Emissions[Year],0),MATCH(Table2B.4_AQ_Dollars[[#Headers],[VOC]],TableA6_Emissions[#Headers],0)),0)</f>
        <v>0</v>
      </c>
      <c r="I164" s="163">
        <f>SUM(Table2B.4_AQ_Dollars[[#This Row],[NOX]:[VOC]])</f>
        <v>42460.283333331819</v>
      </c>
    </row>
    <row r="165" spans="2:9">
      <c r="B165" s="135">
        <f>First_Year+'Appendix B. Project Info'!B45</f>
        <v>2048</v>
      </c>
      <c r="C165" s="163">
        <f>IFERROR(IF(Table2B.4_AQ_Dollars[[#This Row],[Year]]&gt;Closeout,(C124*INDEX(TableA6_Emissions[#All],MATCH(Table2B.4_AQ_Dollars[[#This Row],[Year]],TableA6_Emissions[Year],0),MATCH(Table2B.4_AQ_Dollars[[#Headers],[NOX]],TableA6_Emissions[#Headers],0))),0),0)</f>
        <v>3149.9999999998631</v>
      </c>
      <c r="D165" s="163">
        <f>IFERROR(IF(Table2B.4_AQ_Dollars[[#This Row],[Year]]&gt;Closeout,(D124*INDEX(TableA6_Emissions[#All],MATCH(Table2B.4_AQ_Dollars[[#This Row],[Year]],TableA6_Emissions[Year],0),MATCH(Table2B.4_AQ_Dollars[[#Headers],[SOx]],TableA6_Emissions[#Headers],0))),0),0)</f>
        <v>324.89999999999554</v>
      </c>
      <c r="E165" s="163">
        <f>IFERROR(IF(Table2B.4_AQ_Dollars[[#This Row],[Year]]&gt;Closeout,(E124*INDEX(TableA6_Emissions[#All],MATCH(Table2B.4_AQ_Dollars[[#This Row],[Year]],TableA6_Emissions[Year],0),MATCH(Table2B.4_AQ_Dollars[[#Headers],[PM2.5]],TableA6_Emissions[#Headers],0))),0),0)</f>
        <v>6050.6666666660503</v>
      </c>
      <c r="F165" s="163">
        <f>IFERROR(IF(Table2B.4_AQ_Dollars[[#This Row],[Year]]&gt;Closeout,F124*INDEX(TableA6_Emissions[#All],MATCH(Table2B.4_AQ_Dollars[[#This Row],[Year]],TableA6_Emissions[Year],0),MATCH(Table2B.4_AQ_Dollars[[#Headers],[CO2]],TableA6_Emissions[#Headers],0)),0),0)</f>
        <v>34396.666666665842</v>
      </c>
      <c r="G165" s="163">
        <f>IFERROR(G124*INDEX(TableA6_Emissions[#All],MATCH(Table2B.4_AQ_Dollars[[#This Row],[Year]],TableA6_Emissions[Year],0),MATCH(Table2B.4_AQ_Dollars[[#Headers],[PM10]],TableA6_Emissions[#Headers],0)),0)</f>
        <v>0</v>
      </c>
      <c r="H165" s="163">
        <f>IFERROR(H124*INDEX(TableA6_Emissions[#All],MATCH(Table2B.4_AQ_Dollars[[#This Row],[Year]],TableA6_Emissions[Year],0),MATCH(Table2B.4_AQ_Dollars[[#Headers],[VOC]],TableA6_Emissions[#Headers],0)),0)</f>
        <v>0</v>
      </c>
      <c r="I165" s="163">
        <f>SUM(Table2B.4_AQ_Dollars[[#This Row],[NOX]:[VOC]])</f>
        <v>43922.233333331751</v>
      </c>
    </row>
    <row r="166" spans="2:9">
      <c r="B166" s="135">
        <f>First_Year+'Appendix B. Project Info'!B46</f>
        <v>2049</v>
      </c>
      <c r="C166" s="163">
        <f>IFERROR(IF(Table2B.4_AQ_Dollars[[#This Row],[Year]]&gt;Closeout,(C125*INDEX(TableA6_Emissions[#All],MATCH(Table2B.4_AQ_Dollars[[#This Row],[Year]],TableA6_Emissions[Year],0),MATCH(Table2B.4_AQ_Dollars[[#Headers],[NOX]],TableA6_Emissions[#Headers],0))),0),0)</f>
        <v>3137.3999999998559</v>
      </c>
      <c r="D166" s="163">
        <f>IFERROR(IF(Table2B.4_AQ_Dollars[[#This Row],[Year]]&gt;Closeout,(D125*INDEX(TableA6_Emissions[#All],MATCH(Table2B.4_AQ_Dollars[[#This Row],[Year]],TableA6_Emissions[Year],0),MATCH(Table2B.4_AQ_Dollars[[#Headers],[SOx]],TableA6_Emissions[#Headers],0))),0),0)</f>
        <v>333.44999999999533</v>
      </c>
      <c r="E166" s="163">
        <f>IFERROR(IF(Table2B.4_AQ_Dollars[[#This Row],[Year]]&gt;Closeout,(E125*INDEX(TableA6_Emissions[#All],MATCH(Table2B.4_AQ_Dollars[[#This Row],[Year]],TableA6_Emissions[Year],0),MATCH(Table2B.4_AQ_Dollars[[#Headers],[PM2.5]],TableA6_Emissions[#Headers],0))),0),0)</f>
        <v>6353.1999999993759</v>
      </c>
      <c r="F166" s="163">
        <f>IFERROR(IF(Table2B.4_AQ_Dollars[[#This Row],[Year]]&gt;Closeout,F125*INDEX(TableA6_Emissions[#All],MATCH(Table2B.4_AQ_Dollars[[#This Row],[Year]],TableA6_Emissions[Year],0),MATCH(Table2B.4_AQ_Dollars[[#Headers],[CO2]],TableA6_Emissions[#Headers],0)),0),0)</f>
        <v>35578.199999999124</v>
      </c>
      <c r="G166" s="163">
        <f>IFERROR(G125*INDEX(TableA6_Emissions[#All],MATCH(Table2B.4_AQ_Dollars[[#This Row],[Year]],TableA6_Emissions[Year],0),MATCH(Table2B.4_AQ_Dollars[[#Headers],[PM10]],TableA6_Emissions[#Headers],0)),0)</f>
        <v>0</v>
      </c>
      <c r="H166" s="163">
        <f>IFERROR(H125*INDEX(TableA6_Emissions[#All],MATCH(Table2B.4_AQ_Dollars[[#This Row],[Year]],TableA6_Emissions[Year],0),MATCH(Table2B.4_AQ_Dollars[[#Headers],[VOC]],TableA6_Emissions[#Headers],0)),0)</f>
        <v>0</v>
      </c>
      <c r="I166" s="163">
        <f>SUM(Table2B.4_AQ_Dollars[[#This Row],[NOX]:[VOC]])</f>
        <v>45402.249999998356</v>
      </c>
    </row>
    <row r="167" spans="2:9">
      <c r="B167" s="135">
        <f>First_Year+'Appendix B. Project Info'!B47</f>
        <v>2050</v>
      </c>
      <c r="C167" s="163">
        <f>IFERROR(IF(Table2B.4_AQ_Dollars[[#This Row],[Year]]&gt;Closeout,(C126*INDEX(TableA6_Emissions[#All],MATCH(Table2B.4_AQ_Dollars[[#This Row],[Year]],TableA6_Emissions[Year],0),MATCH(Table2B.4_AQ_Dollars[[#Headers],[NOX]],TableA6_Emissions[#Headers],0))),0),0)</f>
        <v>3124.7999999998488</v>
      </c>
      <c r="D167" s="163">
        <f>IFERROR(IF(Table2B.4_AQ_Dollars[[#This Row],[Year]]&gt;Closeout,(D126*INDEX(TableA6_Emissions[#All],MATCH(Table2B.4_AQ_Dollars[[#This Row],[Year]],TableA6_Emissions[Year],0),MATCH(Table2B.4_AQ_Dollars[[#Headers],[SOx]],TableA6_Emissions[#Headers],0))),0),0)</f>
        <v>341.99999999999505</v>
      </c>
      <c r="E167" s="163">
        <f>IFERROR(IF(Table2B.4_AQ_Dollars[[#This Row],[Year]]&gt;Closeout,(E126*INDEX(TableA6_Emissions[#All],MATCH(Table2B.4_AQ_Dollars[[#This Row],[Year]],TableA6_Emissions[Year],0),MATCH(Table2B.4_AQ_Dollars[[#Headers],[PM2.5]],TableA6_Emissions[#Headers],0))),0),0)</f>
        <v>6655.7333333327015</v>
      </c>
      <c r="F167" s="163">
        <f>IFERROR(IF(Table2B.4_AQ_Dollars[[#This Row],[Year]]&gt;Closeout,F126*INDEX(TableA6_Emissions[#All],MATCH(Table2B.4_AQ_Dollars[[#This Row],[Year]],TableA6_Emissions[Year],0),MATCH(Table2B.4_AQ_Dollars[[#Headers],[CO2]],TableA6_Emissions[#Headers],0)),0),0)</f>
        <v>36777.799999999072</v>
      </c>
      <c r="G167" s="163">
        <f>IFERROR(G126*INDEX(TableA6_Emissions[#All],MATCH(Table2B.4_AQ_Dollars[[#This Row],[Year]],TableA6_Emissions[Year],0),MATCH(Table2B.4_AQ_Dollars[[#Headers],[PM10]],TableA6_Emissions[#Headers],0)),0)</f>
        <v>0</v>
      </c>
      <c r="H167" s="163">
        <f>IFERROR(H126*INDEX(TableA6_Emissions[#All],MATCH(Table2B.4_AQ_Dollars[[#This Row],[Year]],TableA6_Emissions[Year],0),MATCH(Table2B.4_AQ_Dollars[[#Headers],[VOC]],TableA6_Emissions[#Headers],0)),0)</f>
        <v>0</v>
      </c>
      <c r="I167" s="163">
        <f>SUM(Table2B.4_AQ_Dollars[[#This Row],[NOX]:[VOC]])</f>
        <v>46900.333333331619</v>
      </c>
    </row>
    <row r="168" spans="2:9">
      <c r="B168" s="135">
        <f>First_Year+'Appendix B. Project Info'!B48</f>
        <v>2051</v>
      </c>
      <c r="C168" s="163">
        <f>IFERROR(IF(Table2B.4_AQ_Dollars[[#This Row],[Year]]&gt;Closeout,(C127*INDEX(TableA6_Emissions[#All],MATCH(Table2B.4_AQ_Dollars[[#This Row],[Year]],TableA6_Emissions[Year],0),MATCH(Table2B.4_AQ_Dollars[[#Headers],[NOX]],TableA6_Emissions[#Headers],0))),0),0)</f>
        <v>3112.199999999842</v>
      </c>
      <c r="D168" s="163">
        <f>IFERROR(IF(Table2B.4_AQ_Dollars[[#This Row],[Year]]&gt;Closeout,(D127*INDEX(TableA6_Emissions[#All],MATCH(Table2B.4_AQ_Dollars[[#This Row],[Year]],TableA6_Emissions[Year],0),MATCH(Table2B.4_AQ_Dollars[[#Headers],[SOx]],TableA6_Emissions[#Headers],0))),0),0)</f>
        <v>350.54999999999484</v>
      </c>
      <c r="E168" s="163">
        <f>IFERROR(IF(Table2B.4_AQ_Dollars[[#This Row],[Year]]&gt;Closeout,(E127*INDEX(TableA6_Emissions[#All],MATCH(Table2B.4_AQ_Dollars[[#This Row],[Year]],TableA6_Emissions[Year],0),MATCH(Table2B.4_AQ_Dollars[[#Headers],[PM2.5]],TableA6_Emissions[#Headers],0))),0),0)</f>
        <v>6958.2666666660516</v>
      </c>
      <c r="F168" s="163">
        <f>IFERROR(IF(Table2B.4_AQ_Dollars[[#This Row],[Year]]&gt;Closeout,F127*INDEX(TableA6_Emissions[#All],MATCH(Table2B.4_AQ_Dollars[[#This Row],[Year]],TableA6_Emissions[Year],0),MATCH(Table2B.4_AQ_Dollars[[#Headers],[CO2]],TableA6_Emissions[#Headers],0)),0),0)</f>
        <v>37995.466666665685</v>
      </c>
      <c r="G168" s="163">
        <f>IFERROR(G127*INDEX(TableA6_Emissions[#All],MATCH(Table2B.4_AQ_Dollars[[#This Row],[Year]],TableA6_Emissions[Year],0),MATCH(Table2B.4_AQ_Dollars[[#Headers],[PM10]],TableA6_Emissions[#Headers],0)),0)</f>
        <v>0</v>
      </c>
      <c r="H168" s="163">
        <f>IFERROR(H127*INDEX(TableA6_Emissions[#All],MATCH(Table2B.4_AQ_Dollars[[#This Row],[Year]],TableA6_Emissions[Year],0),MATCH(Table2B.4_AQ_Dollars[[#Headers],[VOC]],TableA6_Emissions[#Headers],0)),0)</f>
        <v>0</v>
      </c>
      <c r="I168" s="163">
        <f>SUM(Table2B.4_AQ_Dollars[[#This Row],[NOX]:[VOC]])</f>
        <v>48416.483333331576</v>
      </c>
    </row>
    <row r="169" spans="2:9">
      <c r="B169" s="135">
        <f>First_Year+'Appendix B. Project Info'!B49</f>
        <v>2052</v>
      </c>
      <c r="C169" s="163">
        <f>IFERROR(IF(Table2B.4_AQ_Dollars[[#This Row],[Year]]&gt;Closeout,(C128*INDEX(TableA6_Emissions[#All],MATCH(Table2B.4_AQ_Dollars[[#This Row],[Year]],TableA6_Emissions[Year],0),MATCH(Table2B.4_AQ_Dollars[[#Headers],[NOX]],TableA6_Emissions[#Headers],0))),0),0)</f>
        <v>3099.5999999998348</v>
      </c>
      <c r="D169" s="163">
        <f>IFERROR(IF(Table2B.4_AQ_Dollars[[#This Row],[Year]]&gt;Closeout,(D128*INDEX(TableA6_Emissions[#All],MATCH(Table2B.4_AQ_Dollars[[#This Row],[Year]],TableA6_Emissions[Year],0),MATCH(Table2B.4_AQ_Dollars[[#Headers],[SOx]],TableA6_Emissions[#Headers],0))),0),0)</f>
        <v>359.09999999999462</v>
      </c>
      <c r="E169" s="163">
        <f>IFERROR(IF(Table2B.4_AQ_Dollars[[#This Row],[Year]]&gt;Closeout,(E128*INDEX(TableA6_Emissions[#All],MATCH(Table2B.4_AQ_Dollars[[#This Row],[Year]],TableA6_Emissions[Year],0),MATCH(Table2B.4_AQ_Dollars[[#Headers],[PM2.5]],TableA6_Emissions[#Headers],0))),0),0)</f>
        <v>7260.7999999994017</v>
      </c>
      <c r="F169" s="163">
        <f>IFERROR(IF(Table2B.4_AQ_Dollars[[#This Row],[Year]]&gt;Closeout,F128*INDEX(TableA6_Emissions[#All],MATCH(Table2B.4_AQ_Dollars[[#This Row],[Year]],TableA6_Emissions[Year],0),MATCH(Table2B.4_AQ_Dollars[[#Headers],[CO2]],TableA6_Emissions[#Headers],0)),0),0)</f>
        <v>37027.199999999022</v>
      </c>
      <c r="G169" s="163">
        <f>IFERROR(G128*INDEX(TableA6_Emissions[#All],MATCH(Table2B.4_AQ_Dollars[[#This Row],[Year]],TableA6_Emissions[Year],0),MATCH(Table2B.4_AQ_Dollars[[#Headers],[PM10]],TableA6_Emissions[#Headers],0)),0)</f>
        <v>0</v>
      </c>
      <c r="H169" s="163">
        <f>IFERROR(H128*INDEX(TableA6_Emissions[#All],MATCH(Table2B.4_AQ_Dollars[[#This Row],[Year]],TableA6_Emissions[Year],0),MATCH(Table2B.4_AQ_Dollars[[#Headers],[VOC]],TableA6_Emissions[#Headers],0)),0)</f>
        <v>0</v>
      </c>
      <c r="I169" s="163">
        <f>SUM(Table2B.4_AQ_Dollars[[#This Row],[NOX]:[VOC]])</f>
        <v>47746.699999998251</v>
      </c>
    </row>
    <row r="170" spans="2:9">
      <c r="B170" s="135">
        <f>First_Year+'Appendix B. Project Info'!B50</f>
        <v>2053</v>
      </c>
      <c r="C170" s="163">
        <f>IFERROR(IF(Table2B.4_AQ_Dollars[[#This Row],[Year]]&gt;Closeout,(C129*INDEX(TableA6_Emissions[#All],MATCH(Table2B.4_AQ_Dollars[[#This Row],[Year]],TableA6_Emissions[Year],0),MATCH(Table2B.4_AQ_Dollars[[#Headers],[NOX]],TableA6_Emissions[#Headers],0))),0),0)</f>
        <v>3086.9999999998281</v>
      </c>
      <c r="D170" s="163">
        <f>IFERROR(IF(Table2B.4_AQ_Dollars[[#This Row],[Year]]&gt;Closeout,(D129*INDEX(TableA6_Emissions[#All],MATCH(Table2B.4_AQ_Dollars[[#This Row],[Year]],TableA6_Emissions[Year],0),MATCH(Table2B.4_AQ_Dollars[[#Headers],[SOx]],TableA6_Emissions[#Headers],0))),0),0)</f>
        <v>367.64999999999441</v>
      </c>
      <c r="E170" s="163">
        <f>IFERROR(IF(Table2B.4_AQ_Dollars[[#This Row],[Year]]&gt;Closeout,(E129*INDEX(TableA6_Emissions[#All],MATCH(Table2B.4_AQ_Dollars[[#This Row],[Year]],TableA6_Emissions[Year],0),MATCH(Table2B.4_AQ_Dollars[[#Headers],[PM2.5]],TableA6_Emissions[#Headers],0))),0),0)</f>
        <v>7563.3333333327519</v>
      </c>
      <c r="F170" s="163">
        <f>IFERROR(IF(Table2B.4_AQ_Dollars[[#This Row],[Year]]&gt;Closeout,F129*INDEX(TableA6_Emissions[#All],MATCH(Table2B.4_AQ_Dollars[[#This Row],[Year]],TableA6_Emissions[Year],0),MATCH(Table2B.4_AQ_Dollars[[#Headers],[CO2]],TableA6_Emissions[#Headers],0)),0),0)</f>
        <v>38235.833333332303</v>
      </c>
      <c r="G170" s="163">
        <f>IFERROR(G129*INDEX(TableA6_Emissions[#All],MATCH(Table2B.4_AQ_Dollars[[#This Row],[Year]],TableA6_Emissions[Year],0),MATCH(Table2B.4_AQ_Dollars[[#Headers],[PM10]],TableA6_Emissions[#Headers],0)),0)</f>
        <v>0</v>
      </c>
      <c r="H170" s="163">
        <f>IFERROR(H129*INDEX(TableA6_Emissions[#All],MATCH(Table2B.4_AQ_Dollars[[#This Row],[Year]],TableA6_Emissions[Year],0),MATCH(Table2B.4_AQ_Dollars[[#Headers],[VOC]],TableA6_Emissions[#Headers],0)),0)</f>
        <v>0</v>
      </c>
      <c r="I170" s="163">
        <f>SUM(Table2B.4_AQ_Dollars[[#This Row],[NOX]:[VOC]])</f>
        <v>49253.816666664876</v>
      </c>
    </row>
    <row r="171" spans="2:9">
      <c r="B171" s="135">
        <f>First_Year+'Appendix B. Project Info'!B51</f>
        <v>2054</v>
      </c>
      <c r="C171" s="163">
        <f>IFERROR(IF(Table2B.4_AQ_Dollars[[#This Row],[Year]]&gt;Closeout,(C130*INDEX(TableA6_Emissions[#All],MATCH(Table2B.4_AQ_Dollars[[#This Row],[Year]],TableA6_Emissions[Year],0),MATCH(Table2B.4_AQ_Dollars[[#Headers],[NOX]],TableA6_Emissions[#Headers],0))),0),0)</f>
        <v>3074.3999999998209</v>
      </c>
      <c r="D171" s="163">
        <f>IFERROR(IF(Table2B.4_AQ_Dollars[[#This Row],[Year]]&gt;Closeout,(D130*INDEX(TableA6_Emissions[#All],MATCH(Table2B.4_AQ_Dollars[[#This Row],[Year]],TableA6_Emissions[Year],0),MATCH(Table2B.4_AQ_Dollars[[#Headers],[SOx]],TableA6_Emissions[#Headers],0))),0),0)</f>
        <v>376.19999999999419</v>
      </c>
      <c r="E171" s="163">
        <f>IFERROR(IF(Table2B.4_AQ_Dollars[[#This Row],[Year]]&gt;Closeout,(E130*INDEX(TableA6_Emissions[#All],MATCH(Table2B.4_AQ_Dollars[[#This Row],[Year]],TableA6_Emissions[Year],0),MATCH(Table2B.4_AQ_Dollars[[#Headers],[PM2.5]],TableA6_Emissions[#Headers],0))),0),0)</f>
        <v>7865.8666666661029</v>
      </c>
      <c r="F171" s="163">
        <f>IFERROR(IF(Table2B.4_AQ_Dollars[[#This Row],[Year]]&gt;Closeout,F130*INDEX(TableA6_Emissions[#All],MATCH(Table2B.4_AQ_Dollars[[#This Row],[Year]],TableA6_Emissions[Year],0),MATCH(Table2B.4_AQ_Dollars[[#Headers],[CO2]],TableA6_Emissions[#Headers],0)),0),0)</f>
        <v>39462.533333332249</v>
      </c>
      <c r="G171" s="163">
        <f>IFERROR(G130*INDEX(TableA6_Emissions[#All],MATCH(Table2B.4_AQ_Dollars[[#This Row],[Year]],TableA6_Emissions[Year],0),MATCH(Table2B.4_AQ_Dollars[[#Headers],[PM10]],TableA6_Emissions[#Headers],0)),0)</f>
        <v>0</v>
      </c>
      <c r="H171" s="163">
        <f>IFERROR(H130*INDEX(TableA6_Emissions[#All],MATCH(Table2B.4_AQ_Dollars[[#This Row],[Year]],TableA6_Emissions[Year],0),MATCH(Table2B.4_AQ_Dollars[[#Headers],[VOC]],TableA6_Emissions[#Headers],0)),0)</f>
        <v>0</v>
      </c>
      <c r="I171" s="163">
        <f>SUM(Table2B.4_AQ_Dollars[[#This Row],[NOX]:[VOC]])</f>
        <v>50778.999999998166</v>
      </c>
    </row>
    <row r="172" spans="2:9">
      <c r="B172" s="135">
        <f>First_Year+'Appendix B. Project Info'!B52</f>
        <v>2055</v>
      </c>
      <c r="C172" s="163">
        <f>IFERROR(IF(Table2B.4_AQ_Dollars[[#This Row],[Year]]&gt;Closeout,(C131*INDEX(TableA6_Emissions[#All],MATCH(Table2B.4_AQ_Dollars[[#This Row],[Year]],TableA6_Emissions[Year],0),MATCH(Table2B.4_AQ_Dollars[[#Headers],[NOX]],TableA6_Emissions[#Headers],0))),0),0)</f>
        <v>3061.7999999998137</v>
      </c>
      <c r="D172" s="163">
        <f>IFERROR(IF(Table2B.4_AQ_Dollars[[#This Row],[Year]]&gt;Closeout,(D131*INDEX(TableA6_Emissions[#All],MATCH(Table2B.4_AQ_Dollars[[#This Row],[Year]],TableA6_Emissions[Year],0),MATCH(Table2B.4_AQ_Dollars[[#Headers],[SOx]],TableA6_Emissions[#Headers],0))),0),0)</f>
        <v>384.74999999999392</v>
      </c>
      <c r="E172" s="163">
        <f>IFERROR(IF(Table2B.4_AQ_Dollars[[#This Row],[Year]]&gt;Closeout,(E131*INDEX(TableA6_Emissions[#All],MATCH(Table2B.4_AQ_Dollars[[#This Row],[Year]],TableA6_Emissions[Year],0),MATCH(Table2B.4_AQ_Dollars[[#Headers],[PM2.5]],TableA6_Emissions[#Headers],0))),0),0)</f>
        <v>8168.399999999453</v>
      </c>
      <c r="F172" s="163">
        <f>IFERROR(IF(Table2B.4_AQ_Dollars[[#This Row],[Year]]&gt;Closeout,F131*INDEX(TableA6_Emissions[#All],MATCH(Table2B.4_AQ_Dollars[[#This Row],[Year]],TableA6_Emissions[Year],0),MATCH(Table2B.4_AQ_Dollars[[#Headers],[CO2]],TableA6_Emissions[#Headers],0)),0),0)</f>
        <v>40707.299999998861</v>
      </c>
      <c r="G172" s="163">
        <f>IFERROR(G131*INDEX(TableA6_Emissions[#All],MATCH(Table2B.4_AQ_Dollars[[#This Row],[Year]],TableA6_Emissions[Year],0),MATCH(Table2B.4_AQ_Dollars[[#Headers],[PM10]],TableA6_Emissions[#Headers],0)),0)</f>
        <v>0</v>
      </c>
      <c r="H172" s="163">
        <f>IFERROR(H131*INDEX(TableA6_Emissions[#All],MATCH(Table2B.4_AQ_Dollars[[#This Row],[Year]],TableA6_Emissions[Year],0),MATCH(Table2B.4_AQ_Dollars[[#Headers],[VOC]],TableA6_Emissions[#Headers],0)),0)</f>
        <v>0</v>
      </c>
      <c r="I172" s="163">
        <f>SUM(Table2B.4_AQ_Dollars[[#This Row],[NOX]:[VOC]])</f>
        <v>52322.249999998123</v>
      </c>
    </row>
    <row r="173" spans="2:9">
      <c r="B173" s="135">
        <f>First_Year+'Appendix B. Project Info'!B53</f>
        <v>2056</v>
      </c>
      <c r="C173" s="163">
        <f>IFERROR(IF(Table2B.4_AQ_Dollars[[#This Row],[Year]]&gt;Closeout,(C132*INDEX(TableA6_Emissions[#All],MATCH(Table2B.4_AQ_Dollars[[#This Row],[Year]],TableA6_Emissions[Year],0),MATCH(Table2B.4_AQ_Dollars[[#Headers],[NOX]],TableA6_Emissions[#Headers],0))),0),0)</f>
        <v>3049.199999999807</v>
      </c>
      <c r="D173" s="163">
        <f>IFERROR(IF(Table2B.4_AQ_Dollars[[#This Row],[Year]]&gt;Closeout,(D132*INDEX(TableA6_Emissions[#All],MATCH(Table2B.4_AQ_Dollars[[#This Row],[Year]],TableA6_Emissions[Year],0),MATCH(Table2B.4_AQ_Dollars[[#Headers],[SOx]],TableA6_Emissions[#Headers],0))),0),0)</f>
        <v>393.2999999999937</v>
      </c>
      <c r="E173" s="163">
        <f>IFERROR(IF(Table2B.4_AQ_Dollars[[#This Row],[Year]]&gt;Closeout,(E132*INDEX(TableA6_Emissions[#All],MATCH(Table2B.4_AQ_Dollars[[#This Row],[Year]],TableA6_Emissions[Year],0),MATCH(Table2B.4_AQ_Dollars[[#Headers],[PM2.5]],TableA6_Emissions[#Headers],0))),0),0)</f>
        <v>8470.9333333328032</v>
      </c>
      <c r="F173" s="163">
        <f>IFERROR(IF(Table2B.4_AQ_Dollars[[#This Row],[Year]]&gt;Closeout,F132*INDEX(TableA6_Emissions[#All],MATCH(Table2B.4_AQ_Dollars[[#This Row],[Year]],TableA6_Emissions[Year],0),MATCH(Table2B.4_AQ_Dollars[[#Headers],[CO2]],TableA6_Emissions[#Headers],0)),0),0)</f>
        <v>41970.133333332138</v>
      </c>
      <c r="G173" s="163">
        <f>IFERROR(G132*INDEX(TableA6_Emissions[#All],MATCH(Table2B.4_AQ_Dollars[[#This Row],[Year]],TableA6_Emissions[Year],0),MATCH(Table2B.4_AQ_Dollars[[#Headers],[PM10]],TableA6_Emissions[#Headers],0)),0)</f>
        <v>0</v>
      </c>
      <c r="H173" s="163">
        <f>IFERROR(H132*INDEX(TableA6_Emissions[#All],MATCH(Table2B.4_AQ_Dollars[[#This Row],[Year]],TableA6_Emissions[Year],0),MATCH(Table2B.4_AQ_Dollars[[#Headers],[VOC]],TableA6_Emissions[#Headers],0)),0)</f>
        <v>0</v>
      </c>
      <c r="I173" s="163">
        <f>SUM(Table2B.4_AQ_Dollars[[#This Row],[NOX]:[VOC]])</f>
        <v>53883.566666664745</v>
      </c>
    </row>
    <row r="174" spans="2:9">
      <c r="B174" s="135">
        <f>First_Year+'Appendix B. Project Info'!B54</f>
        <v>2057</v>
      </c>
      <c r="C174" s="163">
        <f>IFERROR(IF(Table2B.4_AQ_Dollars[[#This Row],[Year]]&gt;Closeout,(C133*INDEX(TableA6_Emissions[#All],MATCH(Table2B.4_AQ_Dollars[[#This Row],[Year]],TableA6_Emissions[Year],0),MATCH(Table2B.4_AQ_Dollars[[#Headers],[NOX]],TableA6_Emissions[#Headers],0))),0),0)</f>
        <v>3036.5999999997998</v>
      </c>
      <c r="D174" s="163">
        <f>IFERROR(IF(Table2B.4_AQ_Dollars[[#This Row],[Year]]&gt;Closeout,(D133*INDEX(TableA6_Emissions[#All],MATCH(Table2B.4_AQ_Dollars[[#This Row],[Year]],TableA6_Emissions[Year],0),MATCH(Table2B.4_AQ_Dollars[[#Headers],[SOx]],TableA6_Emissions[#Headers],0))),0),0)</f>
        <v>401.84999999999349</v>
      </c>
      <c r="E174" s="163">
        <f>IFERROR(IF(Table2B.4_AQ_Dollars[[#This Row],[Year]]&gt;Closeout,(E133*INDEX(TableA6_Emissions[#All],MATCH(Table2B.4_AQ_Dollars[[#This Row],[Year]],TableA6_Emissions[Year],0),MATCH(Table2B.4_AQ_Dollars[[#Headers],[PM2.5]],TableA6_Emissions[#Headers],0))),0),0)</f>
        <v>8773.4666666661542</v>
      </c>
      <c r="F174" s="163">
        <f>IFERROR(IF(Table2B.4_AQ_Dollars[[#This Row],[Year]]&gt;Closeout,F133*INDEX(TableA6_Emissions[#All],MATCH(Table2B.4_AQ_Dollars[[#This Row],[Year]],TableA6_Emissions[Year],0),MATCH(Table2B.4_AQ_Dollars[[#Headers],[CO2]],TableA6_Emissions[#Headers],0)),0),0)</f>
        <v>43251.033333332081</v>
      </c>
      <c r="G174" s="163">
        <f>IFERROR(G133*INDEX(TableA6_Emissions[#All],MATCH(Table2B.4_AQ_Dollars[[#This Row],[Year]],TableA6_Emissions[Year],0),MATCH(Table2B.4_AQ_Dollars[[#Headers],[PM10]],TableA6_Emissions[#Headers],0)),0)</f>
        <v>0</v>
      </c>
      <c r="H174" s="163">
        <f>IFERROR(H133*INDEX(TableA6_Emissions[#All],MATCH(Table2B.4_AQ_Dollars[[#This Row],[Year]],TableA6_Emissions[Year],0),MATCH(Table2B.4_AQ_Dollars[[#Headers],[VOC]],TableA6_Emissions[#Headers],0)),0)</f>
        <v>0</v>
      </c>
      <c r="I174" s="163">
        <f>SUM(Table2B.4_AQ_Dollars[[#This Row],[NOX]:[VOC]])</f>
        <v>55462.949999998033</v>
      </c>
    </row>
    <row r="175" spans="2:9">
      <c r="B175" s="135">
        <f>First_Year+'Appendix B. Project Info'!B55</f>
        <v>2058</v>
      </c>
      <c r="C175" s="163">
        <f>IFERROR(IF(Table2B.4_AQ_Dollars[[#This Row],[Year]]&gt;Closeout,(C134*INDEX(TableA6_Emissions[#All],MATCH(Table2B.4_AQ_Dollars[[#This Row],[Year]],TableA6_Emissions[Year],0),MATCH(Table2B.4_AQ_Dollars[[#Headers],[NOX]],TableA6_Emissions[#Headers],0))),0),0)</f>
        <v>3024.0000000000027</v>
      </c>
      <c r="D175" s="163">
        <f>IFERROR(IF(Table2B.4_AQ_Dollars[[#This Row],[Year]]&gt;Closeout,(D134*INDEX(TableA6_Emissions[#All],MATCH(Table2B.4_AQ_Dollars[[#This Row],[Year]],TableA6_Emissions[Year],0),MATCH(Table2B.4_AQ_Dollars[[#Headers],[SOx]],TableA6_Emissions[#Headers],0))),0),0)</f>
        <v>410.40000000000038</v>
      </c>
      <c r="E175" s="163">
        <f>IFERROR(IF(Table2B.4_AQ_Dollars[[#This Row],[Year]]&gt;Closeout,(E134*INDEX(TableA6_Emissions[#All],MATCH(Table2B.4_AQ_Dollars[[#This Row],[Year]],TableA6_Emissions[Year],0),MATCH(Table2B.4_AQ_Dollars[[#Headers],[PM2.5]],TableA6_Emissions[#Headers],0))),0),0)</f>
        <v>9075.9999999999836</v>
      </c>
      <c r="F175" s="163">
        <f>IFERROR(IF(Table2B.4_AQ_Dollars[[#This Row],[Year]]&gt;Closeout,F134*INDEX(TableA6_Emissions[#All],MATCH(Table2B.4_AQ_Dollars[[#This Row],[Year]],TableA6_Emissions[Year],0),MATCH(Table2B.4_AQ_Dollars[[#Headers],[CO2]],TableA6_Emissions[#Headers],0)),0),0)</f>
        <v>44550</v>
      </c>
      <c r="G175" s="163">
        <f>IFERROR(G134*INDEX(TableA6_Emissions[#All],MATCH(Table2B.4_AQ_Dollars[[#This Row],[Year]],TableA6_Emissions[Year],0),MATCH(Table2B.4_AQ_Dollars[[#Headers],[PM10]],TableA6_Emissions[#Headers],0)),0)</f>
        <v>0</v>
      </c>
      <c r="H175" s="163">
        <f>IFERROR(H134*INDEX(TableA6_Emissions[#All],MATCH(Table2B.4_AQ_Dollars[[#This Row],[Year]],TableA6_Emissions[Year],0),MATCH(Table2B.4_AQ_Dollars[[#Headers],[VOC]],TableA6_Emissions[#Headers],0)),0)</f>
        <v>0</v>
      </c>
      <c r="I175" s="163">
        <f>SUM(Table2B.4_AQ_Dollars[[#This Row],[NOX]:[VOC]])</f>
        <v>57060.399999999987</v>
      </c>
    </row>
    <row r="176" spans="2:9">
      <c r="B176" s="135" t="s">
        <v>26</v>
      </c>
      <c r="C176" s="206">
        <f>SUBTOTAL(109,Table2B.4_AQ_Dollars[NOX])</f>
        <v>96021.8666666637</v>
      </c>
      <c r="D176" s="206">
        <f>SUBTOTAL(109,Table2B.4_AQ_Dollars[SOx])</f>
        <v>8584.0499999999029</v>
      </c>
      <c r="E176" s="206">
        <f>SUBTOTAL(109,Table2B.4_AQ_Dollars[PM2.5])</f>
        <v>140659.1333333212</v>
      </c>
      <c r="F176" s="206">
        <f>SUBTOTAL(109,Table2B.4_AQ_Dollars[CO2])</f>
        <v>871123.13333331607</v>
      </c>
      <c r="G176" s="206">
        <f>SUBTOTAL(109,Table2B.4_AQ_Dollars[PM10])</f>
        <v>0</v>
      </c>
      <c r="H176" s="206">
        <f>SUBTOTAL(109,Table2B.4_AQ_Dollars[VOC])</f>
        <v>0</v>
      </c>
      <c r="I176" s="207">
        <f>SUBTOTAL(109,Table2B.4_AQ_Dollars[Total])</f>
        <v>1116388.1833333008</v>
      </c>
    </row>
    <row r="179" spans="2:9" hidden="1">
      <c r="B179" s="63" t="s">
        <v>144</v>
      </c>
      <c r="C179" s="131"/>
      <c r="D179" s="131"/>
      <c r="E179" s="132"/>
      <c r="F179" s="131"/>
      <c r="G179" s="131"/>
      <c r="H179" s="131"/>
    </row>
    <row r="180" spans="2:9" hidden="1">
      <c r="B180" s="131"/>
      <c r="C180" s="131"/>
      <c r="D180" s="131"/>
      <c r="E180" s="132"/>
      <c r="F180" s="131"/>
      <c r="G180" s="131"/>
      <c r="H180" s="131"/>
    </row>
    <row r="181" spans="2:9" hidden="1">
      <c r="B181" s="134" t="s">
        <v>19</v>
      </c>
      <c r="C181" s="146" t="s">
        <v>130</v>
      </c>
      <c r="D181" s="146" t="s">
        <v>122</v>
      </c>
      <c r="E181" s="146" t="s">
        <v>131</v>
      </c>
      <c r="F181" s="146" t="s">
        <v>132</v>
      </c>
      <c r="G181" s="146" t="s">
        <v>133</v>
      </c>
      <c r="H181" s="146" t="s">
        <v>126</v>
      </c>
      <c r="I181" s="146" t="s">
        <v>26</v>
      </c>
    </row>
    <row r="182" spans="2:9" hidden="1">
      <c r="B182" s="135">
        <f>First_Year+'Appendix B. Project Info'!B20</f>
        <v>2023</v>
      </c>
      <c r="C182" s="136"/>
      <c r="D182" s="136"/>
      <c r="E182" s="136"/>
      <c r="F182" s="136"/>
      <c r="G182" s="136"/>
      <c r="H182" s="136"/>
      <c r="I182" s="147">
        <f>IF(Table25[[#This Row],[Year]]&gt;Closeout,SUM(C182:H182),0)</f>
        <v>0</v>
      </c>
    </row>
    <row r="183" spans="2:9" hidden="1">
      <c r="B183" s="135">
        <f>First_Year+'Appendix B. Project Info'!B21</f>
        <v>2024</v>
      </c>
      <c r="C183" s="136"/>
      <c r="D183" s="136"/>
      <c r="E183" s="136"/>
      <c r="F183" s="136"/>
      <c r="G183" s="136"/>
      <c r="H183" s="136"/>
      <c r="I183" s="147">
        <f>IF(Table25[[#This Row],[Year]]&gt;Closeout,SUM(C183:H183),0)</f>
        <v>0</v>
      </c>
    </row>
    <row r="184" spans="2:9" hidden="1">
      <c r="B184" s="135">
        <f>First_Year+'Appendix B. Project Info'!B22</f>
        <v>2025</v>
      </c>
      <c r="C184" s="136"/>
      <c r="D184" s="136"/>
      <c r="E184" s="136"/>
      <c r="F184" s="136"/>
      <c r="G184" s="136"/>
      <c r="H184" s="136"/>
      <c r="I184" s="147">
        <f>IF(Table25[[#This Row],[Year]]&gt;Closeout,SUM(C184:H184),0)</f>
        <v>0</v>
      </c>
    </row>
    <row r="185" spans="2:9" hidden="1">
      <c r="B185" s="135">
        <f>First_Year+'Appendix B. Project Info'!B23</f>
        <v>2026</v>
      </c>
      <c r="C185" s="136"/>
      <c r="D185" s="136"/>
      <c r="E185" s="136"/>
      <c r="F185" s="136"/>
      <c r="G185" s="136"/>
      <c r="H185" s="136"/>
      <c r="I185" s="147">
        <f>IF(Table25[[#This Row],[Year]]&gt;Closeout,SUM(C185:H185),0)</f>
        <v>0</v>
      </c>
    </row>
    <row r="186" spans="2:9" hidden="1">
      <c r="B186" s="135">
        <f>First_Year+'Appendix B. Project Info'!B24</f>
        <v>2027</v>
      </c>
      <c r="C186" s="136"/>
      <c r="D186" s="136"/>
      <c r="E186" s="136"/>
      <c r="F186" s="136"/>
      <c r="G186" s="136"/>
      <c r="H186" s="136"/>
      <c r="I186" s="147">
        <f>IF(Table25[[#This Row],[Year]]&gt;Closeout,SUM(C186:H186),0)</f>
        <v>0</v>
      </c>
    </row>
    <row r="187" spans="2:9" hidden="1">
      <c r="B187" s="135">
        <f>First_Year+'Appendix B. Project Info'!B25</f>
        <v>2028</v>
      </c>
      <c r="C187" s="136">
        <f>'2. Emissions Benefits'!C29</f>
        <v>0</v>
      </c>
      <c r="D187" s="136">
        <f>'2. Emissions Benefits'!D29</f>
        <v>0</v>
      </c>
      <c r="E187" s="136">
        <f>'2. Emissions Benefits'!E29</f>
        <v>0</v>
      </c>
      <c r="F187" s="136">
        <f>'2. Emissions Benefits'!F29</f>
        <v>0</v>
      </c>
      <c r="G187" s="136">
        <f>'2. Emissions Benefits'!G29</f>
        <v>0</v>
      </c>
      <c r="H187" s="136">
        <f>'2. Emissions Benefits'!H29</f>
        <v>0</v>
      </c>
      <c r="I187" s="147">
        <f>IF(Table25[[#This Row],[Year]]&gt;Closeout,SUM(C187:H187),0)</f>
        <v>0</v>
      </c>
    </row>
    <row r="188" spans="2:9" hidden="1">
      <c r="B188" s="135">
        <f>First_Year+'Appendix B. Project Info'!B26</f>
        <v>2029</v>
      </c>
      <c r="C188" s="137">
        <f>'2. Emissions Benefits'!C30</f>
        <v>3263.8666666666627</v>
      </c>
      <c r="D188" s="136">
        <f>'2. Emissions Benefits'!D30</f>
        <v>156.74999999999991</v>
      </c>
      <c r="E188" s="136">
        <f>'2. Emissions Benefits'!E30</f>
        <v>293.13333333330104</v>
      </c>
      <c r="F188" s="137">
        <f>'2. Emissions Benefits'!F30</f>
        <v>14448.066666666637</v>
      </c>
      <c r="G188" s="137">
        <f>'2. Emissions Benefits'!G30</f>
        <v>0</v>
      </c>
      <c r="H188" s="137">
        <f>'2. Emissions Benefits'!H30</f>
        <v>0</v>
      </c>
      <c r="I188" s="147">
        <f>IF(Table25[[#This Row],[Year]]&gt;Closeout,SUM(C188:H188),0)</f>
        <v>18161.8166666666</v>
      </c>
    </row>
    <row r="189" spans="2:9" hidden="1">
      <c r="B189" s="135">
        <f>First_Year+'Appendix B. Project Info'!B27</f>
        <v>2030</v>
      </c>
      <c r="C189" s="137">
        <f>'2. Emissions Benefits'!C31</f>
        <v>3323.1999999999894</v>
      </c>
      <c r="D189" s="136">
        <f>'2. Emissions Benefits'!D31</f>
        <v>167.99999999999969</v>
      </c>
      <c r="E189" s="136">
        <f>'2. Emissions Benefits'!E31</f>
        <v>595.59999999993443</v>
      </c>
      <c r="F189" s="137">
        <f>'2. Emissions Benefits'!F31</f>
        <v>15250.199999999939</v>
      </c>
      <c r="G189" s="137">
        <f>'2. Emissions Benefits'!G31</f>
        <v>0</v>
      </c>
      <c r="H189" s="137">
        <f>'2. Emissions Benefits'!H31</f>
        <v>0</v>
      </c>
      <c r="I189" s="147">
        <f>IF(Table25[[#This Row],[Year]]&gt;Closeout,SUM(C189:H189),0)</f>
        <v>19336.999999999862</v>
      </c>
    </row>
    <row r="190" spans="2:9" hidden="1">
      <c r="B190" s="135">
        <f>First_Year+'Appendix B. Project Info'!B28</f>
        <v>2031</v>
      </c>
      <c r="C190" s="137">
        <f>'2. Emissions Benefits'!C32</f>
        <v>3364.1999999999821</v>
      </c>
      <c r="D190" s="136">
        <f>'2. Emissions Benefits'!D32</f>
        <v>179.54999999999944</v>
      </c>
      <c r="E190" s="136">
        <f>'2. Emissions Benefits'!E32</f>
        <v>907.59999999990009</v>
      </c>
      <c r="F190" s="137">
        <f>'2. Emissions Benefits'!F32</f>
        <v>16321.499999999905</v>
      </c>
      <c r="G190" s="137">
        <f>'2. Emissions Benefits'!G32</f>
        <v>0</v>
      </c>
      <c r="H190" s="137">
        <f>'2. Emissions Benefits'!H32</f>
        <v>0</v>
      </c>
      <c r="I190" s="147">
        <f>IF(Table25[[#This Row],[Year]]&gt;Closeout,SUM(C190:H190),0)</f>
        <v>20772.849999999788</v>
      </c>
    </row>
    <row r="191" spans="2:9" hidden="1">
      <c r="B191" s="135">
        <f>First_Year+'Appendix B. Project Info'!B29</f>
        <v>2032</v>
      </c>
      <c r="C191" s="137">
        <f>'2. Emissions Benefits'!C33</f>
        <v>3351.5999999999749</v>
      </c>
      <c r="D191" s="136">
        <f>'2. Emissions Benefits'!D33</f>
        <v>188.09999999999923</v>
      </c>
      <c r="E191" s="136">
        <f>'2. Emissions Benefits'!E33</f>
        <v>1210.1333333332</v>
      </c>
      <c r="F191" s="137">
        <f>'2. Emissions Benefits'!F33</f>
        <v>17168.799999999872</v>
      </c>
      <c r="G191" s="137">
        <f>'2. Emissions Benefits'!G33</f>
        <v>0</v>
      </c>
      <c r="H191" s="137">
        <f>'2. Emissions Benefits'!H33</f>
        <v>0</v>
      </c>
      <c r="I191" s="147">
        <f>IF(Table25[[#This Row],[Year]]&gt;Closeout,SUM(C191:H191),0)</f>
        <v>21918.633333333048</v>
      </c>
    </row>
    <row r="192" spans="2:9" hidden="1">
      <c r="B192" s="135">
        <f>First_Year+'Appendix B. Project Info'!B30</f>
        <v>2033</v>
      </c>
      <c r="C192" s="137">
        <f t="shared" ref="C192:D193" si="49">(C$217-C$191)/26+C191</f>
        <v>3338.9999999999759</v>
      </c>
      <c r="D192" s="136">
        <f t="shared" si="49"/>
        <v>196.64999999999927</v>
      </c>
      <c r="E192" s="136">
        <f>IFERROR((E$217-E$191)/26+E191,0)</f>
        <v>1512.6666666665378</v>
      </c>
      <c r="F192" s="136">
        <f>IFERROR((F$217-F$191)/26+F191,0)</f>
        <v>18221.923076922954</v>
      </c>
      <c r="G192" s="136">
        <f t="shared" ref="G192:H207" si="50">(G$217-G$191)/26+G191</f>
        <v>0</v>
      </c>
      <c r="H192" s="136">
        <f t="shared" si="50"/>
        <v>0</v>
      </c>
      <c r="I192" s="147">
        <f>IF(Table25[[#This Row],[Year]]&gt;Closeout,SUM(C192:H192),0)</f>
        <v>23270.239743589467</v>
      </c>
    </row>
    <row r="193" spans="2:9" hidden="1">
      <c r="B193" s="135">
        <f>First_Year+'Appendix B. Project Info'!B31</f>
        <v>2034</v>
      </c>
      <c r="C193" s="137">
        <f t="shared" si="49"/>
        <v>3326.3999999999769</v>
      </c>
      <c r="D193" s="136">
        <f t="shared" si="49"/>
        <v>205.19999999999931</v>
      </c>
      <c r="E193" s="136">
        <f t="shared" ref="E193:E216" si="51">IFERROR((E$217-E$191)/26+E192,0)</f>
        <v>1815.1999999998757</v>
      </c>
      <c r="F193" s="136">
        <f t="shared" ref="F193:F216" si="52">IFERROR((F$217-F$191)/26+F192,0)</f>
        <v>19275.046153846037</v>
      </c>
      <c r="G193" s="136">
        <f t="shared" si="50"/>
        <v>0</v>
      </c>
      <c r="H193" s="136">
        <f t="shared" si="50"/>
        <v>0</v>
      </c>
      <c r="I193" s="147">
        <f>IF(Table25[[#This Row],[Year]]&gt;Closeout,SUM(C193:H193),0)</f>
        <v>24621.846153845887</v>
      </c>
    </row>
    <row r="194" spans="2:9" hidden="1">
      <c r="B194" s="135">
        <f>First_Year+'Appendix B. Project Info'!B32</f>
        <v>2035</v>
      </c>
      <c r="C194" s="137">
        <f t="shared" ref="C194:C216" si="53">(C$217-C$191)/26+C193</f>
        <v>3313.7999999999779</v>
      </c>
      <c r="D194" s="136">
        <f t="shared" ref="D194:D216" si="54">(D$217-D$191)/26+D193</f>
        <v>213.74999999999935</v>
      </c>
      <c r="E194" s="136">
        <f t="shared" si="51"/>
        <v>2117.7333333332135</v>
      </c>
      <c r="F194" s="136">
        <f t="shared" si="52"/>
        <v>20328.169230769119</v>
      </c>
      <c r="G194" s="136">
        <f t="shared" si="50"/>
        <v>0</v>
      </c>
      <c r="H194" s="136">
        <f t="shared" si="50"/>
        <v>0</v>
      </c>
      <c r="I194" s="147">
        <f>IF(Table25[[#This Row],[Year]]&gt;Closeout,SUM(C194:H194),0)</f>
        <v>25973.45256410231</v>
      </c>
    </row>
    <row r="195" spans="2:9" hidden="1">
      <c r="B195" s="135">
        <f>First_Year+'Appendix B. Project Info'!B33</f>
        <v>2036</v>
      </c>
      <c r="C195" s="137">
        <f t="shared" si="53"/>
        <v>3301.1999999999789</v>
      </c>
      <c r="D195" s="136">
        <f t="shared" si="54"/>
        <v>222.29999999999939</v>
      </c>
      <c r="E195" s="136">
        <f t="shared" si="51"/>
        <v>2420.2666666665514</v>
      </c>
      <c r="F195" s="136">
        <f t="shared" si="52"/>
        <v>21381.292307692202</v>
      </c>
      <c r="G195" s="136">
        <f t="shared" si="50"/>
        <v>0</v>
      </c>
      <c r="H195" s="136">
        <f t="shared" si="50"/>
        <v>0</v>
      </c>
      <c r="I195" s="147">
        <f>IF(Table25[[#This Row],[Year]]&gt;Closeout,SUM(C195:H195),0)</f>
        <v>27325.058974358733</v>
      </c>
    </row>
    <row r="196" spans="2:9" hidden="1">
      <c r="B196" s="135">
        <f>First_Year+'Appendix B. Project Info'!B34</f>
        <v>2037</v>
      </c>
      <c r="C196" s="137">
        <f t="shared" si="53"/>
        <v>3288.5999999999799</v>
      </c>
      <c r="D196" s="136">
        <f t="shared" si="54"/>
        <v>230.84999999999943</v>
      </c>
      <c r="E196" s="136">
        <f t="shared" si="51"/>
        <v>2722.7999999998892</v>
      </c>
      <c r="F196" s="136">
        <f t="shared" si="52"/>
        <v>22434.415384615284</v>
      </c>
      <c r="G196" s="136">
        <f t="shared" si="50"/>
        <v>0</v>
      </c>
      <c r="H196" s="136">
        <f t="shared" si="50"/>
        <v>0</v>
      </c>
      <c r="I196" s="147">
        <f>IF(Table25[[#This Row],[Year]]&gt;Closeout,SUM(C196:H196),0)</f>
        <v>28676.665384615153</v>
      </c>
    </row>
    <row r="197" spans="2:9" hidden="1">
      <c r="B197" s="135">
        <f>First_Year+'Appendix B. Project Info'!B35</f>
        <v>2038</v>
      </c>
      <c r="C197" s="137">
        <f t="shared" si="53"/>
        <v>3275.9999999999809</v>
      </c>
      <c r="D197" s="136">
        <f t="shared" si="54"/>
        <v>239.39999999999947</v>
      </c>
      <c r="E197" s="136">
        <f t="shared" si="51"/>
        <v>3025.3333333332271</v>
      </c>
      <c r="F197" s="136">
        <f t="shared" si="52"/>
        <v>23487.538461538366</v>
      </c>
      <c r="G197" s="136">
        <f t="shared" si="50"/>
        <v>0</v>
      </c>
      <c r="H197" s="136">
        <f t="shared" si="50"/>
        <v>0</v>
      </c>
      <c r="I197" s="147">
        <f>IF(Table25[[#This Row],[Year]]&gt;Closeout,SUM(C197:H197),0)</f>
        <v>30028.271794871573</v>
      </c>
    </row>
    <row r="198" spans="2:9" hidden="1">
      <c r="B198" s="135">
        <f>First_Year+'Appendix B. Project Info'!B36</f>
        <v>2039</v>
      </c>
      <c r="C198" s="137">
        <f t="shared" si="53"/>
        <v>3263.3999999999819</v>
      </c>
      <c r="D198" s="136">
        <f t="shared" si="54"/>
        <v>247.94999999999951</v>
      </c>
      <c r="E198" s="136">
        <f t="shared" si="51"/>
        <v>3327.8666666665649</v>
      </c>
      <c r="F198" s="136">
        <f t="shared" si="52"/>
        <v>24540.661538461449</v>
      </c>
      <c r="G198" s="136">
        <f t="shared" si="50"/>
        <v>0</v>
      </c>
      <c r="H198" s="136">
        <f t="shared" si="50"/>
        <v>0</v>
      </c>
      <c r="I198" s="147">
        <f>IF(Table25[[#This Row],[Year]]&gt;Closeout,SUM(C198:H198),0)</f>
        <v>31379.878205127996</v>
      </c>
    </row>
    <row r="199" spans="2:9" hidden="1">
      <c r="B199" s="135">
        <f>First_Year+'Appendix B. Project Info'!B37</f>
        <v>2040</v>
      </c>
      <c r="C199" s="137">
        <f t="shared" si="53"/>
        <v>3250.7999999999829</v>
      </c>
      <c r="D199" s="136">
        <f t="shared" si="54"/>
        <v>256.49999999999955</v>
      </c>
      <c r="E199" s="136">
        <f t="shared" si="51"/>
        <v>3630.3999999999028</v>
      </c>
      <c r="F199" s="136">
        <f t="shared" si="52"/>
        <v>25593.784615384531</v>
      </c>
      <c r="G199" s="136">
        <f t="shared" si="50"/>
        <v>0</v>
      </c>
      <c r="H199" s="136">
        <f t="shared" si="50"/>
        <v>0</v>
      </c>
      <c r="I199" s="147">
        <f>IF(Table25[[#This Row],[Year]]&gt;Closeout,SUM(C199:H199),0)</f>
        <v>32731.484615384416</v>
      </c>
    </row>
    <row r="200" spans="2:9" hidden="1">
      <c r="B200" s="135">
        <f>First_Year+'Appendix B. Project Info'!B38</f>
        <v>2041</v>
      </c>
      <c r="C200" s="137">
        <f t="shared" si="53"/>
        <v>3238.1999999999839</v>
      </c>
      <c r="D200" s="136">
        <f t="shared" si="54"/>
        <v>265.04999999999961</v>
      </c>
      <c r="E200" s="136">
        <f t="shared" si="51"/>
        <v>3932.9333333332406</v>
      </c>
      <c r="F200" s="136">
        <f t="shared" si="52"/>
        <v>26646.907692307614</v>
      </c>
      <c r="G200" s="136">
        <f t="shared" si="50"/>
        <v>0</v>
      </c>
      <c r="H200" s="136">
        <f t="shared" si="50"/>
        <v>0</v>
      </c>
      <c r="I200" s="147">
        <f>IF(Table25[[#This Row],[Year]]&gt;Closeout,SUM(C200:H200),0)</f>
        <v>34083.091025640839</v>
      </c>
    </row>
    <row r="201" spans="2:9" hidden="1">
      <c r="B201" s="135">
        <f>First_Year+'Appendix B. Project Info'!B39</f>
        <v>2042</v>
      </c>
      <c r="C201" s="137">
        <f t="shared" si="53"/>
        <v>3225.5999999999849</v>
      </c>
      <c r="D201" s="136">
        <f t="shared" si="54"/>
        <v>273.59999999999968</v>
      </c>
      <c r="E201" s="136">
        <f t="shared" si="51"/>
        <v>4235.466666666578</v>
      </c>
      <c r="F201" s="136">
        <f t="shared" si="52"/>
        <v>27700.030769230696</v>
      </c>
      <c r="G201" s="136">
        <f t="shared" si="50"/>
        <v>0</v>
      </c>
      <c r="H201" s="136">
        <f t="shared" si="50"/>
        <v>0</v>
      </c>
      <c r="I201" s="147">
        <f>IF(Table25[[#This Row],[Year]]&gt;Closeout,SUM(C201:H201),0)</f>
        <v>35434.697435897258</v>
      </c>
    </row>
    <row r="202" spans="2:9" hidden="1">
      <c r="B202" s="135">
        <f>First_Year+'Appendix B. Project Info'!B40</f>
        <v>2043</v>
      </c>
      <c r="C202" s="137">
        <f t="shared" si="53"/>
        <v>3212.9999999999859</v>
      </c>
      <c r="D202" s="136">
        <f t="shared" si="54"/>
        <v>282.14999999999975</v>
      </c>
      <c r="E202" s="136">
        <f t="shared" si="51"/>
        <v>4537.9999999999154</v>
      </c>
      <c r="F202" s="136">
        <f t="shared" si="52"/>
        <v>28753.153846153778</v>
      </c>
      <c r="G202" s="136">
        <f t="shared" si="50"/>
        <v>0</v>
      </c>
      <c r="H202" s="136">
        <f t="shared" si="50"/>
        <v>0</v>
      </c>
      <c r="I202" s="147">
        <f>IF(Table25[[#This Row],[Year]]&gt;Closeout,SUM(C202:H202),0)</f>
        <v>36786.303846153678</v>
      </c>
    </row>
    <row r="203" spans="2:9" hidden="1">
      <c r="B203" s="135">
        <f>First_Year+'Appendix B. Project Info'!B41</f>
        <v>2044</v>
      </c>
      <c r="C203" s="137">
        <f t="shared" si="53"/>
        <v>3200.3999999999869</v>
      </c>
      <c r="D203" s="136">
        <f t="shared" si="54"/>
        <v>290.69999999999982</v>
      </c>
      <c r="E203" s="136">
        <f t="shared" si="51"/>
        <v>4840.5333333332528</v>
      </c>
      <c r="F203" s="136">
        <f t="shared" si="52"/>
        <v>29806.276923076861</v>
      </c>
      <c r="G203" s="136">
        <f t="shared" si="50"/>
        <v>0</v>
      </c>
      <c r="H203" s="136">
        <f t="shared" si="50"/>
        <v>0</v>
      </c>
      <c r="I203" s="147">
        <f>IF(Table25[[#This Row],[Year]]&gt;Closeout,SUM(C203:H203),0)</f>
        <v>38137.910256410105</v>
      </c>
    </row>
    <row r="204" spans="2:9" hidden="1">
      <c r="B204" s="135">
        <f>First_Year+'Appendix B. Project Info'!B42</f>
        <v>2045</v>
      </c>
      <c r="C204" s="137">
        <f t="shared" si="53"/>
        <v>3187.7999999999879</v>
      </c>
      <c r="D204" s="136">
        <f t="shared" si="54"/>
        <v>299.24999999999989</v>
      </c>
      <c r="E204" s="136">
        <f t="shared" si="51"/>
        <v>5143.0666666665902</v>
      </c>
      <c r="F204" s="136">
        <f t="shared" si="52"/>
        <v>30859.399999999943</v>
      </c>
      <c r="G204" s="136">
        <f t="shared" si="50"/>
        <v>0</v>
      </c>
      <c r="H204" s="136">
        <f t="shared" si="50"/>
        <v>0</v>
      </c>
      <c r="I204" s="147">
        <f>IF(Table25[[#This Row],[Year]]&gt;Closeout,SUM(C204:H204),0)</f>
        <v>39489.516666666517</v>
      </c>
    </row>
    <row r="205" spans="2:9" hidden="1">
      <c r="B205" s="135">
        <f>First_Year+'Appendix B. Project Info'!B43</f>
        <v>2046</v>
      </c>
      <c r="C205" s="137">
        <f t="shared" si="53"/>
        <v>3175.1999999999889</v>
      </c>
      <c r="D205" s="136">
        <f t="shared" si="54"/>
        <v>307.79999999999995</v>
      </c>
      <c r="E205" s="136">
        <f t="shared" si="51"/>
        <v>5445.5999999999276</v>
      </c>
      <c r="F205" s="136">
        <f t="shared" si="52"/>
        <v>31912.523076923026</v>
      </c>
      <c r="G205" s="136">
        <f t="shared" si="50"/>
        <v>0</v>
      </c>
      <c r="H205" s="136">
        <f t="shared" si="50"/>
        <v>0</v>
      </c>
      <c r="I205" s="147">
        <f>IF(Table25[[#This Row],[Year]]&gt;Closeout,SUM(C205:H205),0)</f>
        <v>40841.123076922944</v>
      </c>
    </row>
    <row r="206" spans="2:9" hidden="1">
      <c r="B206" s="135">
        <f>First_Year+'Appendix B. Project Info'!B44</f>
        <v>2047</v>
      </c>
      <c r="C206" s="137">
        <f t="shared" si="53"/>
        <v>3162.5999999999899</v>
      </c>
      <c r="D206" s="136">
        <f t="shared" si="54"/>
        <v>316.35000000000002</v>
      </c>
      <c r="E206" s="136">
        <f t="shared" si="51"/>
        <v>5748.133333333265</v>
      </c>
      <c r="F206" s="136">
        <f t="shared" si="52"/>
        <v>32965.646153846108</v>
      </c>
      <c r="G206" s="136">
        <f t="shared" si="50"/>
        <v>0</v>
      </c>
      <c r="H206" s="136">
        <f t="shared" si="50"/>
        <v>0</v>
      </c>
      <c r="I206" s="147">
        <f>IF(Table25[[#This Row],[Year]]&gt;Closeout,SUM(C206:H206),0)</f>
        <v>42192.729487179364</v>
      </c>
    </row>
    <row r="207" spans="2:9" hidden="1">
      <c r="B207" s="135">
        <f>First_Year+'Appendix B. Project Info'!B45</f>
        <v>2048</v>
      </c>
      <c r="C207" s="137">
        <f t="shared" si="53"/>
        <v>3149.9999999999909</v>
      </c>
      <c r="D207" s="136">
        <f t="shared" si="54"/>
        <v>324.90000000000009</v>
      </c>
      <c r="E207" s="136">
        <f t="shared" si="51"/>
        <v>6050.6666666666024</v>
      </c>
      <c r="F207" s="136">
        <f t="shared" si="52"/>
        <v>34018.76923076919</v>
      </c>
      <c r="G207" s="136">
        <f t="shared" si="50"/>
        <v>0</v>
      </c>
      <c r="H207" s="136">
        <f t="shared" si="50"/>
        <v>0</v>
      </c>
      <c r="I207" s="147">
        <f>IF(Table25[[#This Row],[Year]]&gt;Closeout,SUM(C207:H207),0)</f>
        <v>43544.335897435783</v>
      </c>
    </row>
    <row r="208" spans="2:9" hidden="1">
      <c r="B208" s="135">
        <f>First_Year+'Appendix B. Project Info'!B46</f>
        <v>2049</v>
      </c>
      <c r="C208" s="137">
        <f t="shared" si="53"/>
        <v>3137.3999999999919</v>
      </c>
      <c r="D208" s="136">
        <f t="shared" si="54"/>
        <v>333.45000000000016</v>
      </c>
      <c r="E208" s="136">
        <f t="shared" si="51"/>
        <v>6353.1999999999398</v>
      </c>
      <c r="F208" s="136">
        <f t="shared" si="52"/>
        <v>35071.892307692273</v>
      </c>
      <c r="G208" s="136">
        <f t="shared" ref="G208:G216" si="55">(G$217-G$191)/26+G207</f>
        <v>0</v>
      </c>
      <c r="H208" s="136">
        <f t="shared" ref="H208:H216" si="56">(H$217-H$191)/26+H207</f>
        <v>0</v>
      </c>
      <c r="I208" s="147">
        <f>IF(Table25[[#This Row],[Year]]&gt;Closeout,SUM(C208:H208),0)</f>
        <v>44895.942307692203</v>
      </c>
    </row>
    <row r="209" spans="2:9" hidden="1">
      <c r="B209" s="135">
        <f>First_Year+'Appendix B. Project Info'!B47</f>
        <v>2050</v>
      </c>
      <c r="C209" s="137">
        <f t="shared" si="53"/>
        <v>3124.7999999999929</v>
      </c>
      <c r="D209" s="136">
        <f t="shared" si="54"/>
        <v>342.00000000000023</v>
      </c>
      <c r="E209" s="136">
        <f t="shared" si="51"/>
        <v>6655.7333333332772</v>
      </c>
      <c r="F209" s="136">
        <f t="shared" si="52"/>
        <v>36125.015384615355</v>
      </c>
      <c r="G209" s="136">
        <f t="shared" si="55"/>
        <v>0</v>
      </c>
      <c r="H209" s="136">
        <f t="shared" si="56"/>
        <v>0</v>
      </c>
      <c r="I209" s="147">
        <f>IF(Table25[[#This Row],[Year]]&gt;Closeout,SUM(C209:H209),0)</f>
        <v>46247.548717948623</v>
      </c>
    </row>
    <row r="210" spans="2:9" hidden="1">
      <c r="B210" s="135">
        <f>First_Year+'Appendix B. Project Info'!B48</f>
        <v>2051</v>
      </c>
      <c r="C210" s="137">
        <f t="shared" si="53"/>
        <v>3112.1999999999939</v>
      </c>
      <c r="D210" s="136">
        <f t="shared" si="54"/>
        <v>350.5500000000003</v>
      </c>
      <c r="E210" s="136">
        <f t="shared" si="51"/>
        <v>6958.2666666666146</v>
      </c>
      <c r="F210" s="136">
        <f t="shared" si="52"/>
        <v>37178.138461538438</v>
      </c>
      <c r="G210" s="136">
        <f t="shared" si="55"/>
        <v>0</v>
      </c>
      <c r="H210" s="136">
        <f t="shared" si="56"/>
        <v>0</v>
      </c>
      <c r="I210" s="147">
        <f>IF(Table25[[#This Row],[Year]]&gt;Closeout,SUM(C210:H210),0)</f>
        <v>47599.15512820505</v>
      </c>
    </row>
    <row r="211" spans="2:9" hidden="1">
      <c r="B211" s="135">
        <f>First_Year+'Appendix B. Project Info'!B49</f>
        <v>2052</v>
      </c>
      <c r="C211" s="137">
        <f t="shared" si="53"/>
        <v>3099.5999999999949</v>
      </c>
      <c r="D211" s="136">
        <f t="shared" si="54"/>
        <v>359.10000000000036</v>
      </c>
      <c r="E211" s="136">
        <f t="shared" si="51"/>
        <v>7260.799999999952</v>
      </c>
      <c r="F211" s="136">
        <f t="shared" si="52"/>
        <v>38231.26153846152</v>
      </c>
      <c r="G211" s="136">
        <f t="shared" si="55"/>
        <v>0</v>
      </c>
      <c r="H211" s="136">
        <f t="shared" si="56"/>
        <v>0</v>
      </c>
      <c r="I211" s="147">
        <f>IF(Table25[[#This Row],[Year]]&gt;Closeout,SUM(C211:H211),0)</f>
        <v>48950.761538461469</v>
      </c>
    </row>
    <row r="212" spans="2:9" hidden="1">
      <c r="B212" s="135">
        <f>First_Year+'Appendix B. Project Info'!B50</f>
        <v>2053</v>
      </c>
      <c r="C212" s="137">
        <f t="shared" si="53"/>
        <v>3086.9999999999959</v>
      </c>
      <c r="D212" s="136">
        <f t="shared" si="54"/>
        <v>367.65000000000043</v>
      </c>
      <c r="E212" s="136">
        <f t="shared" si="51"/>
        <v>7563.3333333332894</v>
      </c>
      <c r="F212" s="136">
        <f t="shared" si="52"/>
        <v>39284.384615384603</v>
      </c>
      <c r="G212" s="136">
        <f t="shared" si="55"/>
        <v>0</v>
      </c>
      <c r="H212" s="136">
        <f t="shared" si="56"/>
        <v>0</v>
      </c>
      <c r="I212" s="147">
        <f>IF(Table25[[#This Row],[Year]]&gt;Closeout,SUM(C212:H212),0)</f>
        <v>50302.367948717889</v>
      </c>
    </row>
    <row r="213" spans="2:9" hidden="1">
      <c r="B213" s="135">
        <f>First_Year+'Appendix B. Project Info'!B51</f>
        <v>2054</v>
      </c>
      <c r="C213" s="137">
        <f t="shared" si="53"/>
        <v>3074.3999999999969</v>
      </c>
      <c r="D213" s="136">
        <f t="shared" si="54"/>
        <v>376.2000000000005</v>
      </c>
      <c r="E213" s="136">
        <f t="shared" si="51"/>
        <v>7865.8666666666268</v>
      </c>
      <c r="F213" s="136">
        <f t="shared" si="52"/>
        <v>40337.507692307685</v>
      </c>
      <c r="G213" s="136">
        <f t="shared" si="55"/>
        <v>0</v>
      </c>
      <c r="H213" s="136">
        <f t="shared" si="56"/>
        <v>0</v>
      </c>
      <c r="I213" s="147">
        <f>IF(Table25[[#This Row],[Year]]&gt;Closeout,SUM(C213:H213),0)</f>
        <v>51653.974358974308</v>
      </c>
    </row>
    <row r="214" spans="2:9" hidden="1">
      <c r="B214" s="135">
        <f>First_Year+'Appendix B. Project Info'!B52</f>
        <v>2055</v>
      </c>
      <c r="C214" s="137">
        <f t="shared" si="53"/>
        <v>3061.7999999999979</v>
      </c>
      <c r="D214" s="136">
        <f t="shared" si="54"/>
        <v>384.75000000000057</v>
      </c>
      <c r="E214" s="136">
        <f t="shared" si="51"/>
        <v>8168.3999999999642</v>
      </c>
      <c r="F214" s="136">
        <f t="shared" si="52"/>
        <v>41390.630769230767</v>
      </c>
      <c r="G214" s="136">
        <f t="shared" si="55"/>
        <v>0</v>
      </c>
      <c r="H214" s="136">
        <f t="shared" si="56"/>
        <v>0</v>
      </c>
      <c r="I214" s="147">
        <f>IF(Table25[[#This Row],[Year]]&gt;Closeout,SUM(C214:H214),0)</f>
        <v>53005.580769230728</v>
      </c>
    </row>
    <row r="215" spans="2:9" hidden="1">
      <c r="B215" s="135">
        <f>First_Year+'Appendix B. Project Info'!B53</f>
        <v>2056</v>
      </c>
      <c r="C215" s="137">
        <f t="shared" si="53"/>
        <v>3049.1999999999989</v>
      </c>
      <c r="D215" s="136">
        <f t="shared" si="54"/>
        <v>393.30000000000064</v>
      </c>
      <c r="E215" s="136">
        <f t="shared" si="51"/>
        <v>8470.9333333333016</v>
      </c>
      <c r="F215" s="136">
        <f t="shared" si="52"/>
        <v>42443.75384615385</v>
      </c>
      <c r="G215" s="136">
        <f t="shared" si="55"/>
        <v>0</v>
      </c>
      <c r="H215" s="136">
        <f t="shared" si="56"/>
        <v>0</v>
      </c>
      <c r="I215" s="147">
        <f>IF(Table25[[#This Row],[Year]]&gt;Closeout,SUM(C215:H215),0)</f>
        <v>54357.187179487155</v>
      </c>
    </row>
    <row r="216" spans="2:9" hidden="1">
      <c r="B216" s="135">
        <f>First_Year+'Appendix B. Project Info'!B54</f>
        <v>2057</v>
      </c>
      <c r="C216" s="137">
        <f t="shared" si="53"/>
        <v>3036.6</v>
      </c>
      <c r="D216" s="136">
        <f t="shared" si="54"/>
        <v>401.8500000000007</v>
      </c>
      <c r="E216" s="136">
        <f t="shared" si="51"/>
        <v>8773.4666666666399</v>
      </c>
      <c r="F216" s="136">
        <f t="shared" si="52"/>
        <v>43496.876923076932</v>
      </c>
      <c r="G216" s="136">
        <f t="shared" si="55"/>
        <v>0</v>
      </c>
      <c r="H216" s="136">
        <f t="shared" si="56"/>
        <v>0</v>
      </c>
      <c r="I216" s="147">
        <f>IF(Table25[[#This Row],[Year]]&gt;Closeout,SUM(C216:H216),0)</f>
        <v>55708.793589743575</v>
      </c>
    </row>
    <row r="217" spans="2:9" hidden="1">
      <c r="B217" s="135">
        <f>First_Year+'Appendix B. Project Info'!B55</f>
        <v>2058</v>
      </c>
      <c r="C217" s="137">
        <f>'2. Emissions Benefits'!C35</f>
        <v>3024.0000000000027</v>
      </c>
      <c r="D217" s="136">
        <f>'2. Emissions Benefits'!D35</f>
        <v>410.40000000000038</v>
      </c>
      <c r="E217" s="136">
        <f>'2. Emissions Benefits'!E35</f>
        <v>9075.9999999999836</v>
      </c>
      <c r="F217" s="137">
        <f>'2. Emissions Benefits'!F35</f>
        <v>44550</v>
      </c>
      <c r="G217" s="137">
        <f>'2. Emissions Benefits'!G35</f>
        <v>0</v>
      </c>
      <c r="H217" s="137">
        <f>'2. Emissions Benefits'!H35</f>
        <v>0</v>
      </c>
      <c r="I217" s="147">
        <f>IF(Table25[[#This Row],[Year]]&gt;Closeout,SUM(C217:H217),0)</f>
        <v>57060.399999999987</v>
      </c>
    </row>
    <row r="218" spans="2:9" hidden="1">
      <c r="B218" s="135" t="s">
        <v>26</v>
      </c>
      <c r="C218" s="137">
        <f>SUBTOTAL(109,Table25[NOX])</f>
        <v>0</v>
      </c>
      <c r="D218" s="137">
        <f>SUBTOTAL(109,Table25[SOx])</f>
        <v>0</v>
      </c>
      <c r="E218" s="137">
        <f>SUBTOTAL(109,Table25[PM2.5])</f>
        <v>0</v>
      </c>
      <c r="F218" s="137">
        <f>SUBTOTAL(109,Table25[CO2])</f>
        <v>0</v>
      </c>
      <c r="G218" s="137">
        <f>SUBTOTAL(109,Table25[PM10])</f>
        <v>0</v>
      </c>
      <c r="H218" s="137">
        <f>SUBTOTAL(109,Table25[VOC])</f>
        <v>0</v>
      </c>
      <c r="I218" s="147">
        <f>SUBTOTAL(109,Table25[Total])</f>
        <v>0</v>
      </c>
    </row>
    <row r="219" spans="2:9">
      <c r="B219" s="135"/>
      <c r="C219" s="137"/>
      <c r="D219" s="136"/>
      <c r="E219" s="136"/>
      <c r="F219" s="137"/>
      <c r="G219" s="137"/>
      <c r="H219" s="137"/>
      <c r="I219" s="137"/>
    </row>
    <row r="220" spans="2:9">
      <c r="B220" s="135"/>
      <c r="C220" s="137"/>
      <c r="D220" s="136"/>
      <c r="E220" s="136"/>
      <c r="F220" s="137"/>
      <c r="G220" s="137"/>
      <c r="H220" s="137"/>
      <c r="I220" s="137"/>
    </row>
  </sheetData>
  <mergeCells count="6">
    <mergeCell ref="B12:I12"/>
    <mergeCell ref="A1:I1"/>
    <mergeCell ref="B8:I8"/>
    <mergeCell ref="B9:I9"/>
    <mergeCell ref="B10:I10"/>
    <mergeCell ref="B11:I11"/>
  </mergeCells>
  <phoneticPr fontId="25" type="noConversion"/>
  <pageMargins left="0.7" right="0.7" top="0.75" bottom="0.75" header="0.3" footer="0.3"/>
  <pageSetup scale="59" fitToHeight="3" orientation="portrait" r:id="rId1"/>
  <rowBreaks count="2" manualBreakCount="2">
    <brk id="54" max="8" man="1"/>
    <brk id="136" max="8" man="1"/>
  </rowBreaks>
  <drawing r:id="rId2"/>
  <tableParts count="5">
    <tablePart r:id="rId3"/>
    <tablePart r:id="rId4"/>
    <tablePart r:id="rId5"/>
    <tablePart r:id="rId6"/>
    <tablePart r:id="rId7"/>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pageSetUpPr fitToPage="1"/>
  </sheetPr>
  <dimension ref="A1:I45"/>
  <sheetViews>
    <sheetView showGridLines="0" view="pageBreakPreview" zoomScaleNormal="100" zoomScaleSheetLayoutView="100" workbookViewId="0">
      <selection activeCell="A3" sqref="A3:XFD3"/>
    </sheetView>
  </sheetViews>
  <sheetFormatPr defaultColWidth="9.140625" defaultRowHeight="12.75"/>
  <cols>
    <col min="1" max="1" width="21.7109375" style="82" customWidth="1"/>
    <col min="2" max="2" width="25.5703125" style="82" customWidth="1"/>
    <col min="3" max="7" width="15.7109375" style="82" customWidth="1"/>
    <col min="8" max="8" width="21.85546875" style="82" customWidth="1"/>
    <col min="9" max="9" width="25.7109375" style="82" customWidth="1"/>
    <col min="10" max="10" width="1.7109375" style="82" customWidth="1"/>
    <col min="11" max="16384" width="9.140625" style="82"/>
  </cols>
  <sheetData>
    <row r="1" spans="1:9" ht="15" customHeight="1">
      <c r="A1" s="150" t="s">
        <v>145</v>
      </c>
      <c r="B1" s="151"/>
      <c r="C1" s="151"/>
      <c r="D1" s="151"/>
      <c r="E1" s="151"/>
      <c r="F1" s="151"/>
      <c r="G1" s="151"/>
      <c r="H1" s="151"/>
      <c r="I1" s="151"/>
    </row>
    <row r="2" spans="1:9" ht="15" customHeight="1">
      <c r="A2" s="87" t="s">
        <v>1</v>
      </c>
      <c r="B2" s="71" t="str">
        <f>Project_Name</f>
        <v>Right-Sizing Route 37: Improving Community Connectivity</v>
      </c>
    </row>
    <row r="3" spans="1:9" ht="15" hidden="1" customHeight="1">
      <c r="A3" s="87" t="s">
        <v>2</v>
      </c>
      <c r="B3" s="71"/>
    </row>
    <row r="4" spans="1:9" ht="15" customHeight="1">
      <c r="A4" s="87" t="s">
        <v>3</v>
      </c>
      <c r="B4" s="88">
        <f>Date</f>
        <v>44985</v>
      </c>
    </row>
    <row r="5" spans="1:9" ht="30" customHeight="1" thickBot="1"/>
    <row r="6" spans="1:9" ht="48.75" customHeight="1">
      <c r="A6" s="436" t="s">
        <v>679</v>
      </c>
      <c r="B6" s="437"/>
      <c r="C6" s="437"/>
      <c r="D6" s="437"/>
      <c r="E6" s="437"/>
      <c r="F6" s="437"/>
      <c r="G6" s="437"/>
      <c r="H6" s="437"/>
      <c r="I6" s="438"/>
    </row>
    <row r="7" spans="1:9" ht="49.5" customHeight="1">
      <c r="A7" s="439"/>
      <c r="B7" s="440"/>
      <c r="C7" s="440"/>
      <c r="D7" s="440"/>
      <c r="E7" s="440"/>
      <c r="F7" s="440"/>
      <c r="G7" s="440"/>
      <c r="H7" s="440"/>
      <c r="I7" s="441"/>
    </row>
    <row r="8" spans="1:9" ht="30" customHeight="1">
      <c r="A8" s="439"/>
      <c r="B8" s="440"/>
      <c r="C8" s="440"/>
      <c r="D8" s="440"/>
      <c r="E8" s="440"/>
      <c r="F8" s="440"/>
      <c r="G8" s="440"/>
      <c r="H8" s="440"/>
      <c r="I8" s="441"/>
    </row>
    <row r="9" spans="1:9" ht="30" customHeight="1">
      <c r="A9" s="439"/>
      <c r="B9" s="440"/>
      <c r="C9" s="440"/>
      <c r="D9" s="440"/>
      <c r="E9" s="440"/>
      <c r="F9" s="440"/>
      <c r="G9" s="440"/>
      <c r="H9" s="440"/>
      <c r="I9" s="441"/>
    </row>
    <row r="10" spans="1:9" ht="30" customHeight="1" thickBot="1">
      <c r="A10" s="442"/>
      <c r="B10" s="443"/>
      <c r="C10" s="443"/>
      <c r="D10" s="443"/>
      <c r="E10" s="443"/>
      <c r="F10" s="443"/>
      <c r="G10" s="443"/>
      <c r="H10" s="443"/>
      <c r="I10" s="444"/>
    </row>
    <row r="11" spans="1:9">
      <c r="A11" s="71"/>
      <c r="B11" s="149"/>
      <c r="C11" s="149"/>
      <c r="D11" s="149"/>
      <c r="E11" s="149"/>
      <c r="F11" s="149"/>
      <c r="G11" s="149"/>
      <c r="H11" s="149"/>
      <c r="I11" s="149"/>
    </row>
    <row r="12" spans="1:9">
      <c r="B12" s="71" t="s">
        <v>146</v>
      </c>
    </row>
    <row r="13" spans="1:9">
      <c r="B13" s="71"/>
    </row>
    <row r="14" spans="1:9" s="112" customFormat="1" ht="38.25">
      <c r="B14" s="171" t="s">
        <v>147</v>
      </c>
      <c r="C14" s="171" t="s">
        <v>148</v>
      </c>
      <c r="D14" s="171" t="s">
        <v>149</v>
      </c>
      <c r="E14" s="171" t="s">
        <v>150</v>
      </c>
      <c r="F14" s="171" t="s">
        <v>151</v>
      </c>
      <c r="G14" s="171" t="s">
        <v>152</v>
      </c>
      <c r="H14" s="171" t="s">
        <v>153</v>
      </c>
      <c r="I14" s="123" t="s">
        <v>154</v>
      </c>
    </row>
    <row r="15" spans="1:9">
      <c r="B15" s="169" t="s">
        <v>155</v>
      </c>
      <c r="C15" s="170" cm="1">
        <f t="array" ref="C15">Traffic_27NB</f>
        <v>59252</v>
      </c>
      <c r="D15" s="170" cm="1">
        <f t="array" ref="D15">VMT_27NB</f>
        <v>47168.63</v>
      </c>
      <c r="E15" s="170" cm="1">
        <f t="array" ref="E15">VHT_27NB</f>
        <v>1667.4790833333336</v>
      </c>
      <c r="F15" s="170" cm="1">
        <f t="array" ref="F15">MPH_27NB</f>
        <v>30.181333333333331</v>
      </c>
      <c r="G15" s="170" cm="1">
        <f t="array" ref="G15">AvgDelay_27NB</f>
        <v>6.2276764084787497E-3</v>
      </c>
      <c r="H15" s="58">
        <v>0</v>
      </c>
      <c r="I15" s="330">
        <f>Table3.1_TTS_Sum_Open[[#This Row],[Travel Time Savings Benefit ($/Day)]]*365</f>
        <v>0</v>
      </c>
    </row>
    <row r="16" spans="1:9">
      <c r="B16" s="169" t="s">
        <v>156</v>
      </c>
      <c r="C16" s="170" cm="1">
        <f t="array" ref="C16">Traffic_27PA</f>
        <v>59852</v>
      </c>
      <c r="D16" s="170" cm="1">
        <f t="array" ref="D16">VMT_27PA</f>
        <v>41856.87000000001</v>
      </c>
      <c r="E16" s="170" cm="1">
        <f t="array" ref="E16">VHT_27PA</f>
        <v>1646.5058055555553</v>
      </c>
      <c r="F16" s="170" cm="1">
        <f t="array" ref="F16">MPH_27PA</f>
        <v>25.885333333333332</v>
      </c>
      <c r="G16" s="170" cm="1">
        <f t="array" ref="G16">AvgDelay_27PA</f>
        <v>9.0332571877991992E-3</v>
      </c>
      <c r="H16" s="58" cm="1">
        <f t="array" ref="H16">TTSB_27/365</f>
        <v>-4364.5500999189726</v>
      </c>
      <c r="I16" s="330">
        <f>Table3.1_TTS_Sum_Open[[#This Row],[Travel Time Savings Benefit ($/Day)]]*365</f>
        <v>-1593060.7864704251</v>
      </c>
    </row>
    <row r="18" spans="2:9">
      <c r="B18" s="71" t="s">
        <v>157</v>
      </c>
    </row>
    <row r="19" spans="2:9">
      <c r="B19" s="71"/>
    </row>
    <row r="20" spans="2:9" ht="38.25">
      <c r="B20" s="171" t="s">
        <v>147</v>
      </c>
      <c r="C20" s="171" t="s">
        <v>148</v>
      </c>
      <c r="D20" s="171" t="s">
        <v>149</v>
      </c>
      <c r="E20" s="171" t="s">
        <v>150</v>
      </c>
      <c r="F20" s="171" t="s">
        <v>151</v>
      </c>
      <c r="G20" s="171" t="s">
        <v>152</v>
      </c>
      <c r="H20" s="171" t="s">
        <v>153</v>
      </c>
      <c r="I20" s="123" t="s">
        <v>154</v>
      </c>
    </row>
    <row r="21" spans="2:9">
      <c r="B21" s="169" t="s">
        <v>158</v>
      </c>
      <c r="C21" s="170" cm="1">
        <f t="array" ref="C21">Traffic_57NB</f>
        <v>63396</v>
      </c>
      <c r="D21" s="170" cm="1">
        <f t="array" ref="D21">VMT_57NB</f>
        <v>49848.67</v>
      </c>
      <c r="E21" s="170" cm="1">
        <f t="array" ref="E21">VHT_57NB</f>
        <v>2393.5773111111112</v>
      </c>
      <c r="F21" s="170" cm="1">
        <f t="array" ref="F21">MPH_57NB</f>
        <v>26.005999999999997</v>
      </c>
      <c r="G21" s="170" cm="1">
        <f t="array" ref="G21">AvgDelay_57NB</f>
        <v>1.4953401416315525E-2</v>
      </c>
      <c r="H21" s="58">
        <v>0</v>
      </c>
      <c r="I21" s="330">
        <f>Table3.2_TTS_Sum_Des[[#This Row],[Travel Time Savings Benefit ($/Day)]]*365</f>
        <v>0</v>
      </c>
    </row>
    <row r="22" spans="2:9">
      <c r="B22" s="169" t="s">
        <v>159</v>
      </c>
      <c r="C22" s="170" cm="1">
        <f t="array" ref="C22">Traffic_57PA</f>
        <v>64450</v>
      </c>
      <c r="D22" s="170" cm="1">
        <f t="array" ref="D22">VMT_57PA</f>
        <v>45072.71</v>
      </c>
      <c r="E22" s="170" cm="1">
        <f t="array" ref="E22">VHT_57PA</f>
        <v>1806.0929944444442</v>
      </c>
      <c r="F22" s="170" cm="1">
        <f t="array" ref="F22">MPH_57PA</f>
        <v>25.488666666666663</v>
      </c>
      <c r="G22" s="170" cm="1">
        <f t="array" ref="G22">AvgDelay_57PA</f>
        <v>9.4800016681753189E-3</v>
      </c>
      <c r="H22" s="58" cm="1">
        <f t="array" ref="H22">TTSB_57/365</f>
        <v>13861.612232528265</v>
      </c>
      <c r="I22" s="330">
        <f>Table3.2_TTS_Sum_Des[[#This Row],[Travel Time Savings Benefit ($/Day)]]*365</f>
        <v>5059488.4648728166</v>
      </c>
    </row>
    <row r="23" spans="2:9">
      <c r="B23" s="169"/>
      <c r="C23" s="170"/>
      <c r="D23" s="170"/>
      <c r="E23" s="170"/>
      <c r="F23" s="170"/>
      <c r="G23" s="170"/>
      <c r="H23" s="58"/>
    </row>
    <row r="24" spans="2:9">
      <c r="B24" s="71" t="s">
        <v>160</v>
      </c>
    </row>
    <row r="26" spans="2:9" ht="38.25">
      <c r="B26" s="123" t="s">
        <v>147</v>
      </c>
      <c r="C26" s="171" t="s">
        <v>148</v>
      </c>
      <c r="D26" s="171" t="s">
        <v>149</v>
      </c>
      <c r="E26" s="171" t="s">
        <v>150</v>
      </c>
      <c r="F26" s="171" t="s">
        <v>151</v>
      </c>
      <c r="G26" s="171" t="s">
        <v>152</v>
      </c>
      <c r="H26" s="171" t="s">
        <v>153</v>
      </c>
      <c r="I26" s="123" t="s">
        <v>154</v>
      </c>
    </row>
    <row r="27" spans="2:9" ht="25.5">
      <c r="B27" s="171" t="s">
        <v>161</v>
      </c>
      <c r="C27" s="172">
        <f>(C21-C15)/30</f>
        <v>138.13333333333333</v>
      </c>
      <c r="D27" s="172">
        <f t="shared" ref="D27:F27" si="0">(D21-D15)/30</f>
        <v>89.334666666666692</v>
      </c>
      <c r="E27" s="172">
        <f t="shared" si="0"/>
        <v>24.203274259259253</v>
      </c>
      <c r="F27" s="172">
        <f t="shared" si="0"/>
        <v>-0.13917777777777782</v>
      </c>
      <c r="G27" s="172">
        <f t="shared" ref="G27:G28" si="1">(G21-G15)/25</f>
        <v>3.4902900031347109E-4</v>
      </c>
      <c r="H27" s="220">
        <f t="shared" ref="H27:H28" si="2">(H21-H15)/25</f>
        <v>0</v>
      </c>
      <c r="I27" s="331">
        <f>Table3.3_TTS_Rates[[#This Row],[Travel Time Savings Benefit ($/Day)]]*365</f>
        <v>0</v>
      </c>
    </row>
    <row r="28" spans="2:9" ht="25.5">
      <c r="B28" s="171" t="s">
        <v>162</v>
      </c>
      <c r="C28" s="172">
        <f>(C22-C16)/30</f>
        <v>153.26666666666668</v>
      </c>
      <c r="D28" s="172">
        <f t="shared" ref="D28:F28" si="3">(D22-D16)/30</f>
        <v>107.19466666666631</v>
      </c>
      <c r="E28" s="172">
        <f t="shared" si="3"/>
        <v>5.3195729629629644</v>
      </c>
      <c r="F28" s="172">
        <f t="shared" si="3"/>
        <v>-1.3222222222222276E-2</v>
      </c>
      <c r="G28" s="172">
        <f t="shared" si="1"/>
        <v>1.7869779215044791E-5</v>
      </c>
      <c r="H28" s="220">
        <f t="shared" si="2"/>
        <v>729.04649329788958</v>
      </c>
      <c r="I28" s="331">
        <f>Table3.3_TTS_Rates[[#This Row],[Travel Time Savings Benefit ($/Day)]]*365</f>
        <v>266101.97005372972</v>
      </c>
    </row>
    <row r="30" spans="2:9">
      <c r="B30" s="71" t="s">
        <v>163</v>
      </c>
    </row>
    <row r="31" spans="2:9">
      <c r="E31" s="81"/>
      <c r="F31" s="81"/>
    </row>
    <row r="32" spans="2:9" ht="38.25">
      <c r="B32" s="123" t="s">
        <v>147</v>
      </c>
      <c r="C32" s="123" t="s">
        <v>164</v>
      </c>
      <c r="D32" s="123" t="s">
        <v>165</v>
      </c>
      <c r="E32" s="123" t="s">
        <v>166</v>
      </c>
      <c r="F32" s="123" t="s">
        <v>151</v>
      </c>
      <c r="G32" s="123" t="s">
        <v>167</v>
      </c>
      <c r="H32" s="123" t="s">
        <v>168</v>
      </c>
      <c r="I32" s="123" t="s">
        <v>101</v>
      </c>
    </row>
    <row r="33" spans="2:9">
      <c r="B33" s="81" t="s">
        <v>169</v>
      </c>
      <c r="C33" s="266">
        <f>Table3D.1_DailyTTS_NB[[#Totals],[Total Traffic in Network (Veh/Day)]]</f>
        <v>61112.962962962956</v>
      </c>
      <c r="D33" s="266">
        <f>Table3D.1_DailyTTS_NB[[#Totals],[Vehicle Miles Traveled (VMT/Day)]]</f>
        <v>48372.166481481487</v>
      </c>
      <c r="E33" s="266">
        <f>Table3D.1_DailyTTS_NB[[#Totals],[Vehicle Hours Traveled (VHT/Day)]]</f>
        <v>1993.5509726594655</v>
      </c>
      <c r="F33" s="266">
        <f>Table3D.1_DailyTTS_NB[[#Totals],[Average Speed (MPH)]]</f>
        <v>28.306299382716052</v>
      </c>
      <c r="G33" s="266">
        <f>Table3D.1_DailyTTS_NB[[#Totals],[Total Delay (hrs/day)]]</f>
        <v>719.00730379372442</v>
      </c>
      <c r="H33" s="82">
        <v>0</v>
      </c>
      <c r="I33" s="292">
        <f>Table53[[#This Row],[Travel Time Savings Benefit (Avg. $/Year)]]*30</f>
        <v>0</v>
      </c>
    </row>
    <row r="34" spans="2:9">
      <c r="B34" s="81" t="s">
        <v>170</v>
      </c>
      <c r="C34" s="165">
        <f>Table3D.2_DailyTTS_PA[[#Totals],[Total Traffic in Network (Veh/Day)]]</f>
        <v>61916.842592592584</v>
      </c>
      <c r="D34" s="165">
        <f>Table3D.2_DailyTTS_PA[[#Totals],[Vehicle Miles Traveled (VMT/Day)]]</f>
        <v>43301.020370370374</v>
      </c>
      <c r="E34" s="165">
        <f>Table3D.2_DailyTTS_PA[[#Totals],[Vehicle Hours Traveled (VHT/Day)]]</f>
        <v>1718.1722746399178</v>
      </c>
      <c r="F34" s="165">
        <f>Table3D.2_DailyTTS_PA[[#Totals],[Average Speed (MPH)]]</f>
        <v>25.707200617283942</v>
      </c>
      <c r="G34" s="165">
        <f>Table3D.2_DailyTTS_PA[[#Totals],[Total Delay (hrs/day)]]</f>
        <v>597.27237880658447</v>
      </c>
      <c r="H34" s="127">
        <f>Table3D.3_TTSMoneySum[[#Totals],[Annual Benefits, Low (270 Days)]]/30</f>
        <v>1531378.870470657</v>
      </c>
      <c r="I34" s="187">
        <f>Table53[[#This Row],[Travel Time Savings Benefit (Avg. $/Year)]]*30</f>
        <v>45941366.114119709</v>
      </c>
    </row>
    <row r="35" spans="2:9" ht="15" customHeight="1">
      <c r="B35" s="81" t="s">
        <v>26</v>
      </c>
      <c r="C35" s="153">
        <f>C34-C33</f>
        <v>803.87962962962774</v>
      </c>
      <c r="D35" s="153">
        <f t="shared" ref="D35:H35" si="4">D34-D33</f>
        <v>-5071.146111111113</v>
      </c>
      <c r="E35" s="153">
        <f t="shared" si="4"/>
        <v>-275.37869801954776</v>
      </c>
      <c r="F35" s="153">
        <f t="shared" si="4"/>
        <v>-2.5990987654321103</v>
      </c>
      <c r="G35" s="153">
        <f t="shared" si="4"/>
        <v>-121.73492498713995</v>
      </c>
      <c r="H35" s="176">
        <f t="shared" si="4"/>
        <v>1531378.870470657</v>
      </c>
      <c r="I35" s="177">
        <f>SUBTOTAL(109,Table53[30-Year Total])</f>
        <v>45941366.114119709</v>
      </c>
    </row>
    <row r="36" spans="2:9">
      <c r="C36" s="81"/>
      <c r="D36" s="81"/>
      <c r="G36" s="81"/>
      <c r="H36" s="81"/>
    </row>
    <row r="37" spans="2:9" ht="15" customHeight="1">
      <c r="B37" s="81"/>
    </row>
    <row r="38" spans="2:9" ht="32.25" customHeight="1">
      <c r="B38" s="81"/>
      <c r="I38" s="81"/>
    </row>
    <row r="39" spans="2:9">
      <c r="B39" s="81"/>
      <c r="I39" s="81"/>
    </row>
    <row r="40" spans="2:9">
      <c r="B40" s="81"/>
    </row>
    <row r="41" spans="2:9">
      <c r="B41" s="81"/>
    </row>
    <row r="42" spans="2:9">
      <c r="B42" s="81"/>
    </row>
    <row r="43" spans="2:9">
      <c r="B43" s="81"/>
    </row>
    <row r="44" spans="2:9" ht="15" customHeight="1"/>
    <row r="45" spans="2:9" ht="15" customHeight="1"/>
  </sheetData>
  <mergeCells count="1">
    <mergeCell ref="A6:I10"/>
  </mergeCells>
  <pageMargins left="0.7" right="0.7" top="0.75" bottom="0.75" header="0.3" footer="0.3"/>
  <pageSetup scale="52" orientation="portrait" r:id="rId1"/>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EC1118-46BB-4DA2-91A6-CE68BF27A2F2}">
  <sheetPr>
    <tabColor theme="0" tint="-0.249977111117893"/>
  </sheetPr>
  <dimension ref="A1:J152"/>
  <sheetViews>
    <sheetView showGridLines="0" view="pageBreakPreview" zoomScale="85" zoomScaleNormal="85" zoomScaleSheetLayoutView="85" workbookViewId="0">
      <selection activeCell="A3" sqref="A3:XFD3"/>
    </sheetView>
  </sheetViews>
  <sheetFormatPr defaultColWidth="9.140625" defaultRowHeight="12.75"/>
  <cols>
    <col min="1" max="1" width="21.7109375" style="61" customWidth="1"/>
    <col min="2" max="2" width="17.85546875" style="67" customWidth="1"/>
    <col min="3" max="7" width="15.7109375" style="67" customWidth="1"/>
    <col min="8" max="8" width="16.85546875" style="67" customWidth="1"/>
    <col min="9" max="9" width="12.140625" style="61" customWidth="1"/>
    <col min="10" max="15" width="9.140625" style="61"/>
    <col min="16" max="16" width="16.140625" style="61" bestFit="1" customWidth="1"/>
    <col min="17" max="16384" width="9.140625" style="61"/>
  </cols>
  <sheetData>
    <row r="1" spans="1:9" ht="15" customHeight="1">
      <c r="A1" s="447" t="s">
        <v>171</v>
      </c>
      <c r="B1" s="447"/>
      <c r="C1" s="447"/>
      <c r="D1" s="447"/>
      <c r="E1" s="447"/>
      <c r="F1" s="447"/>
      <c r="G1" s="447"/>
      <c r="H1" s="447"/>
      <c r="I1" s="447"/>
    </row>
    <row r="2" spans="1:9" ht="15" customHeight="1">
      <c r="A2" s="140" t="s">
        <v>1</v>
      </c>
      <c r="B2" s="63" t="str">
        <f>Project_Name</f>
        <v>Right-Sizing Route 37: Improving Community Connectivity</v>
      </c>
      <c r="I2" s="67"/>
    </row>
    <row r="3" spans="1:9" ht="15" hidden="1" customHeight="1">
      <c r="A3" s="140" t="s">
        <v>2</v>
      </c>
      <c r="B3" s="63"/>
      <c r="I3" s="67"/>
    </row>
    <row r="4" spans="1:9" ht="15" customHeight="1">
      <c r="A4" s="140" t="s">
        <v>3</v>
      </c>
      <c r="B4" s="64">
        <f>Date</f>
        <v>44985</v>
      </c>
      <c r="I4" s="67"/>
    </row>
    <row r="5" spans="1:9" ht="30" customHeight="1">
      <c r="A5" s="140"/>
      <c r="B5" s="64"/>
      <c r="I5" s="67"/>
    </row>
    <row r="6" spans="1:9">
      <c r="A6" s="140"/>
      <c r="B6" s="64"/>
      <c r="I6" s="67"/>
    </row>
    <row r="7" spans="1:9" ht="15" customHeight="1" thickBot="1">
      <c r="A7" s="67"/>
      <c r="I7" s="67"/>
    </row>
    <row r="8" spans="1:9" ht="99.95" customHeight="1" thickBot="1">
      <c r="A8" s="102" t="s">
        <v>103</v>
      </c>
      <c r="B8" s="430" t="s">
        <v>172</v>
      </c>
      <c r="C8" s="431"/>
      <c r="D8" s="431"/>
      <c r="E8" s="431"/>
      <c r="F8" s="431"/>
      <c r="G8" s="431"/>
      <c r="H8" s="431"/>
      <c r="I8" s="432"/>
    </row>
    <row r="9" spans="1:9" ht="147" customHeight="1" thickBot="1">
      <c r="A9" s="102" t="s">
        <v>105</v>
      </c>
      <c r="B9" s="430" t="s">
        <v>173</v>
      </c>
      <c r="C9" s="431"/>
      <c r="D9" s="431"/>
      <c r="E9" s="431"/>
      <c r="F9" s="431"/>
      <c r="G9" s="431"/>
      <c r="H9" s="431"/>
      <c r="I9" s="432"/>
    </row>
    <row r="10" spans="1:9" ht="30" customHeight="1" thickBot="1">
      <c r="A10" s="102" t="s">
        <v>107</v>
      </c>
      <c r="B10" s="430" t="s">
        <v>174</v>
      </c>
      <c r="C10" s="431"/>
      <c r="D10" s="431"/>
      <c r="E10" s="431"/>
      <c r="F10" s="431"/>
      <c r="G10" s="431"/>
      <c r="H10" s="431"/>
      <c r="I10" s="432"/>
    </row>
    <row r="11" spans="1:9" ht="44.25" customHeight="1" thickBot="1">
      <c r="A11" s="102" t="s">
        <v>109</v>
      </c>
      <c r="B11" s="430" t="s">
        <v>175</v>
      </c>
      <c r="C11" s="431"/>
      <c r="D11" s="431"/>
      <c r="E11" s="431"/>
      <c r="F11" s="431"/>
      <c r="G11" s="431"/>
      <c r="H11" s="431"/>
      <c r="I11" s="432"/>
    </row>
    <row r="12" spans="1:9" ht="43.5" customHeight="1" thickBot="1">
      <c r="A12" s="102" t="s">
        <v>111</v>
      </c>
      <c r="B12" s="430" t="s">
        <v>176</v>
      </c>
      <c r="C12" s="431"/>
      <c r="D12" s="431"/>
      <c r="E12" s="431"/>
      <c r="F12" s="431"/>
      <c r="G12" s="431"/>
      <c r="H12" s="431"/>
      <c r="I12" s="432"/>
    </row>
    <row r="13" spans="1:9">
      <c r="A13" s="139"/>
      <c r="B13" s="104"/>
      <c r="C13" s="104"/>
      <c r="D13" s="104"/>
      <c r="E13" s="104"/>
      <c r="F13" s="104"/>
      <c r="G13" s="104"/>
      <c r="H13" s="104"/>
      <c r="I13" s="139"/>
    </row>
    <row r="14" spans="1:9">
      <c r="B14" s="63" t="s">
        <v>177</v>
      </c>
    </row>
    <row r="15" spans="1:9">
      <c r="A15" s="67"/>
      <c r="B15" s="90"/>
      <c r="C15" s="90"/>
      <c r="D15" s="90"/>
      <c r="E15" s="90"/>
      <c r="F15" s="90"/>
      <c r="G15" s="90"/>
      <c r="H15" s="90"/>
      <c r="I15" s="82"/>
    </row>
    <row r="16" spans="1:9" s="77" customFormat="1" ht="25.5">
      <c r="A16" s="84"/>
      <c r="B16" s="123" t="s">
        <v>178</v>
      </c>
      <c r="C16" s="123" t="s">
        <v>179</v>
      </c>
      <c r="D16" s="301" t="s">
        <v>180</v>
      </c>
      <c r="E16" s="301" t="s">
        <v>181</v>
      </c>
      <c r="F16" s="123" t="s">
        <v>182</v>
      </c>
      <c r="G16" s="123" t="s">
        <v>183</v>
      </c>
      <c r="H16" s="123" t="s">
        <v>184</v>
      </c>
    </row>
    <row r="17" spans="1:10">
      <c r="A17" s="141"/>
      <c r="B17" s="143">
        <v>0.25</v>
      </c>
      <c r="C17" s="345">
        <v>1257</v>
      </c>
      <c r="D17" s="345">
        <v>989.12</v>
      </c>
      <c r="E17" s="345">
        <v>28.006844444444443</v>
      </c>
      <c r="F17" s="345">
        <v>35.32</v>
      </c>
      <c r="G17" s="345">
        <v>2.4073222222222226</v>
      </c>
      <c r="H17" s="346">
        <f>Table3B.1_22TTS[[#This Row],[Total Delay (hr)]]/Table3B.1_22TTS[[#This Row],[Total Vehicles in Network]]</f>
        <v>1.915133032794131E-3</v>
      </c>
      <c r="J17"/>
    </row>
    <row r="18" spans="1:10">
      <c r="A18" s="67"/>
      <c r="B18" s="143">
        <v>0.29166666666666702</v>
      </c>
      <c r="C18" s="345">
        <v>4697</v>
      </c>
      <c r="D18" s="345">
        <v>3799.11</v>
      </c>
      <c r="E18" s="345">
        <v>127.83172222222223</v>
      </c>
      <c r="F18" s="345">
        <v>29.74</v>
      </c>
      <c r="G18" s="345">
        <v>28.986486111111113</v>
      </c>
      <c r="H18" s="346">
        <f>Table3B.1_22TTS[[#This Row],[Total Delay (hr)]]/Table3B.1_22TTS[[#This Row],[Total Vehicles in Network]]</f>
        <v>6.1712765831618294E-3</v>
      </c>
      <c r="J18"/>
    </row>
    <row r="19" spans="1:10">
      <c r="A19" s="67"/>
      <c r="B19" s="143">
        <v>0.33333333333333298</v>
      </c>
      <c r="C19" s="345">
        <v>3004</v>
      </c>
      <c r="D19" s="345">
        <v>2371.54</v>
      </c>
      <c r="E19" s="345">
        <v>70.635361111111109</v>
      </c>
      <c r="F19" s="345">
        <v>33.58</v>
      </c>
      <c r="G19" s="345">
        <v>9.0877027777777784</v>
      </c>
      <c r="H19" s="346">
        <f>Table3B.1_22TTS[[#This Row],[Total Delay (hr)]]/Table3B.1_22TTS[[#This Row],[Total Vehicles in Network]]</f>
        <v>3.0252006583814176E-3</v>
      </c>
      <c r="J19"/>
    </row>
    <row r="20" spans="1:10">
      <c r="A20" s="142"/>
      <c r="B20" s="143">
        <v>0.375</v>
      </c>
      <c r="C20" s="345">
        <v>4491</v>
      </c>
      <c r="D20" s="345">
        <v>3623.3</v>
      </c>
      <c r="E20" s="345">
        <v>116.70570000000001</v>
      </c>
      <c r="F20" s="345">
        <v>31.07</v>
      </c>
      <c r="G20" s="345">
        <v>22.484352777777776</v>
      </c>
      <c r="H20" s="346">
        <f>Table3B.1_22TTS[[#This Row],[Total Delay (hr)]]/Table3B.1_22TTS[[#This Row],[Total Vehicles in Network]]</f>
        <v>5.0065359113288304E-3</v>
      </c>
      <c r="J20"/>
    </row>
    <row r="21" spans="1:10">
      <c r="A21" s="67"/>
      <c r="B21" s="143">
        <v>0.41666666666666702</v>
      </c>
      <c r="C21" s="345">
        <v>3362</v>
      </c>
      <c r="D21" s="345">
        <v>2737.18</v>
      </c>
      <c r="E21" s="345">
        <v>82.49881666666667</v>
      </c>
      <c r="F21" s="345">
        <v>33.18</v>
      </c>
      <c r="G21" s="345">
        <v>10.922652777777779</v>
      </c>
      <c r="H21" s="346">
        <f>Table3B.1_22TTS[[#This Row],[Total Delay (hr)]]/Table3B.1_22TTS[[#This Row],[Total Vehicles in Network]]</f>
        <v>3.2488556745323555E-3</v>
      </c>
      <c r="J21"/>
    </row>
    <row r="22" spans="1:10">
      <c r="A22" s="67"/>
      <c r="B22" s="143">
        <v>0.45833333333333298</v>
      </c>
      <c r="C22" s="345">
        <v>3350</v>
      </c>
      <c r="D22" s="345">
        <v>2719.89</v>
      </c>
      <c r="E22" s="345">
        <v>81.538555555555547</v>
      </c>
      <c r="F22" s="345">
        <v>33.36</v>
      </c>
      <c r="G22" s="345">
        <v>10.527674999999999</v>
      </c>
      <c r="H22" s="346">
        <f>Table3B.1_22TTS[[#This Row],[Total Delay (hr)]]/Table3B.1_22TTS[[#This Row],[Total Vehicles in Network]]</f>
        <v>3.1425895522388054E-3</v>
      </c>
      <c r="J22"/>
    </row>
    <row r="23" spans="1:10">
      <c r="A23" s="67"/>
      <c r="B23" s="143">
        <v>0.5</v>
      </c>
      <c r="C23" s="345">
        <v>3481</v>
      </c>
      <c r="D23" s="345">
        <v>2849.37</v>
      </c>
      <c r="E23" s="345">
        <v>86.630399999999995</v>
      </c>
      <c r="F23" s="345">
        <v>32.89</v>
      </c>
      <c r="G23" s="345">
        <v>11.990677777777778</v>
      </c>
      <c r="H23" s="346">
        <f>Table3B.1_22TTS[[#This Row],[Total Delay (hr)]]/Table3B.1_22TTS[[#This Row],[Total Vehicles in Network]]</f>
        <v>3.4446072329151903E-3</v>
      </c>
      <c r="J23"/>
    </row>
    <row r="24" spans="1:10">
      <c r="A24" s="67"/>
      <c r="B24" s="143">
        <v>0.54166666666666696</v>
      </c>
      <c r="C24" s="345">
        <v>3693</v>
      </c>
      <c r="D24" s="345">
        <v>2926.42</v>
      </c>
      <c r="E24" s="345">
        <v>92.302611111111119</v>
      </c>
      <c r="F24" s="345">
        <v>31.71</v>
      </c>
      <c r="G24" s="345">
        <v>14.80576111111111</v>
      </c>
      <c r="H24" s="346">
        <f>Table3B.1_22TTS[[#This Row],[Total Delay (hr)]]/Table3B.1_22TTS[[#This Row],[Total Vehicles in Network]]</f>
        <v>4.009141920149231E-3</v>
      </c>
      <c r="J24"/>
    </row>
    <row r="25" spans="1:10">
      <c r="A25" s="67"/>
      <c r="B25" s="143">
        <v>0.58333333333333304</v>
      </c>
      <c r="C25" s="345">
        <v>4079</v>
      </c>
      <c r="D25" s="345">
        <v>3176.95</v>
      </c>
      <c r="E25" s="345">
        <v>101.40605555555555</v>
      </c>
      <c r="F25" s="345">
        <v>31.33</v>
      </c>
      <c r="G25" s="345">
        <v>17.30437222222222</v>
      </c>
      <c r="H25" s="346">
        <f>Table3B.1_22TTS[[#This Row],[Total Delay (hr)]]/Table3B.1_22TTS[[#This Row],[Total Vehicles in Network]]</f>
        <v>4.242307482770831E-3</v>
      </c>
      <c r="J25"/>
    </row>
    <row r="26" spans="1:10">
      <c r="A26" s="67"/>
      <c r="B26" s="143">
        <v>0.625</v>
      </c>
      <c r="C26" s="345">
        <v>4724</v>
      </c>
      <c r="D26" s="345">
        <v>3736.46</v>
      </c>
      <c r="E26" s="345">
        <v>124.15094999999999</v>
      </c>
      <c r="F26" s="345">
        <v>30.1</v>
      </c>
      <c r="G26" s="345">
        <v>24.893405555555553</v>
      </c>
      <c r="H26" s="346">
        <f>Table3B.1_22TTS[[#This Row],[Total Delay (hr)]]/Table3B.1_22TTS[[#This Row],[Total Vehicles in Network]]</f>
        <v>5.26956087120143E-3</v>
      </c>
      <c r="J26"/>
    </row>
    <row r="27" spans="1:10">
      <c r="A27" s="67"/>
      <c r="B27" s="143">
        <v>0.66666666666666696</v>
      </c>
      <c r="C27" s="345">
        <v>5229</v>
      </c>
      <c r="D27" s="345">
        <v>4167.2700000000004</v>
      </c>
      <c r="E27" s="345">
        <v>150.82710555555553</v>
      </c>
      <c r="F27" s="345">
        <v>27.67</v>
      </c>
      <c r="G27" s="345">
        <v>39.960944444444443</v>
      </c>
      <c r="H27" s="346">
        <f>Table3B.1_22TTS[[#This Row],[Total Delay (hr)]]/Table3B.1_22TTS[[#This Row],[Total Vehicles in Network]]</f>
        <v>7.6421771743056879E-3</v>
      </c>
      <c r="J27"/>
    </row>
    <row r="28" spans="1:10">
      <c r="A28" s="67"/>
      <c r="B28" s="143">
        <v>0.70833333333333304</v>
      </c>
      <c r="C28" s="345">
        <v>5361</v>
      </c>
      <c r="D28" s="345">
        <v>4224.1400000000003</v>
      </c>
      <c r="E28" s="345">
        <v>185.916</v>
      </c>
      <c r="F28" s="345">
        <v>23.33</v>
      </c>
      <c r="G28" s="345">
        <v>73.702455555555559</v>
      </c>
      <c r="H28" s="346">
        <f>Table3B.1_22TTS[[#This Row],[Total Delay (hr)]]/Table3B.1_22TTS[[#This Row],[Total Vehicles in Network]]</f>
        <v>1.3747893220584883E-2</v>
      </c>
      <c r="J28"/>
    </row>
    <row r="29" spans="1:10">
      <c r="A29" s="67"/>
      <c r="B29" s="143">
        <v>0.75</v>
      </c>
      <c r="C29" s="345">
        <v>5123</v>
      </c>
      <c r="D29" s="345">
        <v>4041.49</v>
      </c>
      <c r="E29" s="345">
        <v>186.75748333333331</v>
      </c>
      <c r="F29" s="345">
        <v>23.22</v>
      </c>
      <c r="G29" s="345">
        <v>79.003380555555552</v>
      </c>
      <c r="H29" s="346">
        <f>Table3B.1_22TTS[[#This Row],[Total Delay (hr)]]/Table3B.1_22TTS[[#This Row],[Total Vehicles in Network]]</f>
        <v>1.5421311839850781E-2</v>
      </c>
      <c r="J29"/>
    </row>
    <row r="30" spans="1:10">
      <c r="A30" s="67"/>
      <c r="B30" s="143">
        <v>0.79166666666666663</v>
      </c>
      <c r="C30" s="345">
        <v>3834</v>
      </c>
      <c r="D30" s="345">
        <v>3036.21</v>
      </c>
      <c r="E30" s="345">
        <v>100.65519444444445</v>
      </c>
      <c r="F30" s="345">
        <v>30.23</v>
      </c>
      <c r="G30" s="345">
        <v>19.846355555555558</v>
      </c>
      <c r="H30" s="346">
        <f>Table3B.1_22TTS[[#This Row],[Total Delay (hr)]]/Table3B.1_22TTS[[#This Row],[Total Vehicles in Network]]</f>
        <v>5.176409899727584E-3</v>
      </c>
      <c r="J30"/>
    </row>
    <row r="31" spans="1:10">
      <c r="A31" s="67"/>
      <c r="B31" s="143">
        <v>0.83333333333333337</v>
      </c>
      <c r="C31" s="345">
        <v>2745</v>
      </c>
      <c r="D31" s="345">
        <v>2177.6999999999998</v>
      </c>
      <c r="E31" s="345">
        <v>66.581355555555561</v>
      </c>
      <c r="F31" s="345">
        <v>32.71</v>
      </c>
      <c r="G31" s="345">
        <v>8.77653888888889</v>
      </c>
      <c r="H31" s="346">
        <f>Table3B.1_22TTS[[#This Row],[Total Delay (hr)]]/Table3B.1_22TTS[[#This Row],[Total Vehicles in Network]]</f>
        <v>3.1972819267354789E-3</v>
      </c>
      <c r="J31"/>
    </row>
    <row r="32" spans="1:10">
      <c r="A32" s="67"/>
      <c r="B32" s="131" t="s">
        <v>26</v>
      </c>
      <c r="C32" s="148">
        <f>SUBTOTAL(109,Table3B.1_22TTS[Total Vehicles in Network])</f>
        <v>58430</v>
      </c>
      <c r="D32" s="148">
        <f>SUBTOTAL(109,Table3B.1_22TTS[VMT: Total Path Distance (mi)])</f>
        <v>46576.149999999994</v>
      </c>
      <c r="E32" s="148">
        <f>SUBTOTAL(109,Table3B.1_22TTS[VHT: Total Time in Network (hr)])</f>
        <v>1602.4441555555554</v>
      </c>
      <c r="F32" s="148">
        <f>SUBTOTAL(101,Table3B.1_22TTS[Average Speed (mph)])</f>
        <v>30.629333333333332</v>
      </c>
      <c r="G32" s="148">
        <f>SUBTOTAL(109,Table3B.1_22TTS[Total Delay (hr)])</f>
        <v>374.70008333333328</v>
      </c>
      <c r="H32" s="368">
        <f>SUBTOTAL(101,Table3B.1_22TTS[Average Delay (hr/veh)])</f>
        <v>5.6440188653785646E-3</v>
      </c>
    </row>
    <row r="33" spans="1:9">
      <c r="A33" s="67"/>
      <c r="B33" s="131"/>
      <c r="C33" s="148"/>
      <c r="D33" s="148"/>
      <c r="E33" s="148"/>
      <c r="F33" s="148"/>
      <c r="G33" s="148"/>
      <c r="H33" s="148"/>
    </row>
    <row r="34" spans="1:9">
      <c r="A34" s="67"/>
      <c r="B34" s="122" t="s">
        <v>185</v>
      </c>
      <c r="C34" s="89"/>
      <c r="D34" s="89"/>
      <c r="E34" s="89"/>
      <c r="F34" s="89"/>
      <c r="G34" s="89"/>
      <c r="H34" s="89"/>
    </row>
    <row r="35" spans="1:9">
      <c r="A35" s="67"/>
      <c r="B35" s="397"/>
      <c r="C35" s="397"/>
      <c r="D35" s="397"/>
      <c r="E35" s="397"/>
      <c r="F35" s="397"/>
      <c r="G35" s="397"/>
      <c r="H35" s="397"/>
    </row>
    <row r="36" spans="1:9" s="77" customFormat="1" ht="25.5">
      <c r="A36" s="84"/>
      <c r="B36" s="123" t="s">
        <v>178</v>
      </c>
      <c r="C36" s="123" t="s">
        <v>186</v>
      </c>
      <c r="D36" s="84" t="s">
        <v>187</v>
      </c>
      <c r="E36" s="123" t="s">
        <v>188</v>
      </c>
      <c r="F36" s="123" t="s">
        <v>189</v>
      </c>
      <c r="G36" s="123" t="s">
        <v>190</v>
      </c>
      <c r="H36" s="123" t="s">
        <v>191</v>
      </c>
    </row>
    <row r="37" spans="1:9">
      <c r="A37" s="67"/>
      <c r="B37" s="143">
        <v>0.25</v>
      </c>
      <c r="C37" s="157">
        <v>0.9653846153846154</v>
      </c>
      <c r="D37" s="157">
        <v>3.4615384615384617E-2</v>
      </c>
      <c r="E37" s="267">
        <f>C17*Table3B.2_22Delay[[#This Row],[Car Traffic Share]]</f>
        <v>1213.4884615384615</v>
      </c>
      <c r="F37" s="156">
        <f>H17*Table3B.2_22Delay[[#This Row],[Car Traffic]]</f>
        <v>2.323991837606838</v>
      </c>
      <c r="G37" s="155">
        <f>C17*Table3B.2_22Delay[[#This Row],[Truck Traffic Share]]</f>
        <v>43.511538461538464</v>
      </c>
      <c r="H37" s="156">
        <f>H17*Table3B.2_22Delay[[#This Row],[Truck Traffic]]</f>
        <v>8.3330384615384639E-2</v>
      </c>
      <c r="I37" s="76"/>
    </row>
    <row r="38" spans="1:9">
      <c r="A38" s="67"/>
      <c r="B38" s="143">
        <v>0.29166666666666702</v>
      </c>
      <c r="C38" s="157">
        <v>0.96461538461538465</v>
      </c>
      <c r="D38" s="157">
        <v>3.5384615384615382E-2</v>
      </c>
      <c r="E38" s="267">
        <f>C18*Table3B.2_22Delay[[#This Row],[Car Traffic Share]]</f>
        <v>4530.7984615384621</v>
      </c>
      <c r="F38" s="156">
        <f>H18*Table3B.2_22Delay[[#This Row],[Car Traffic]]</f>
        <v>27.960810448717954</v>
      </c>
      <c r="G38" s="155">
        <f>C18*Table3B.2_22Delay[[#This Row],[Truck Traffic Share]]</f>
        <v>166.20153846153846</v>
      </c>
      <c r="H38" s="156">
        <f>H18*Table3B.2_22Delay[[#This Row],[Truck Traffic]]</f>
        <v>1.0256756623931624</v>
      </c>
    </row>
    <row r="39" spans="1:9">
      <c r="A39" s="67"/>
      <c r="B39" s="143">
        <v>0.33333333333333298</v>
      </c>
      <c r="C39" s="157">
        <v>0.97201767304860087</v>
      </c>
      <c r="D39" s="157">
        <v>2.7982326951399118E-2</v>
      </c>
      <c r="E39" s="267">
        <f>C19*Table3B.2_22Delay[[#This Row],[Car Traffic Share]]</f>
        <v>2919.941089837997</v>
      </c>
      <c r="F39" s="156">
        <f>H19*Table3B.2_22Delay[[#This Row],[Car Traffic]]</f>
        <v>8.8334077074128619</v>
      </c>
      <c r="G39" s="155">
        <f>C19*Table3B.2_22Delay[[#This Row],[Truck Traffic Share]]</f>
        <v>84.058910162002945</v>
      </c>
      <c r="H39" s="156">
        <f>H19*Table3B.2_22Delay[[#This Row],[Truck Traffic]]</f>
        <v>0.25429507036491572</v>
      </c>
    </row>
    <row r="40" spans="1:9">
      <c r="A40" s="67"/>
      <c r="B40" s="143">
        <v>0.375</v>
      </c>
      <c r="C40" s="157">
        <v>0.9516483516483516</v>
      </c>
      <c r="D40" s="157">
        <v>4.8351648351648353E-2</v>
      </c>
      <c r="E40" s="267">
        <f>C20*Table3B.2_22Delay[[#This Row],[Car Traffic Share]]</f>
        <v>4273.8527472527467</v>
      </c>
      <c r="F40" s="156">
        <f>H20*Table3B.2_22Delay[[#This Row],[Car Traffic]]</f>
        <v>21.397197258852255</v>
      </c>
      <c r="G40" s="155">
        <f>C20*Table3B.2_22Delay[[#This Row],[Truck Traffic Share]]</f>
        <v>217.14725274725276</v>
      </c>
      <c r="H40" s="156">
        <f>H20*Table3B.2_22Delay[[#This Row],[Truck Traffic]]</f>
        <v>1.0871555189255191</v>
      </c>
    </row>
    <row r="41" spans="1:9">
      <c r="A41" s="67"/>
      <c r="B41" s="143">
        <v>0.41666666666666702</v>
      </c>
      <c r="C41" s="157">
        <v>0.98189134808853118</v>
      </c>
      <c r="D41" s="157">
        <v>1.8108651911468814E-2</v>
      </c>
      <c r="E41" s="267">
        <f>C21*Table3B.2_22Delay[[#This Row],[Car Traffic Share]]</f>
        <v>3301.1187122736419</v>
      </c>
      <c r="F41" s="156">
        <f>H21*Table3B.2_22Delay[[#This Row],[Car Traffic]]</f>
        <v>10.724858260675164</v>
      </c>
      <c r="G41" s="155">
        <f>C21*Table3B.2_22Delay[[#This Row],[Truck Traffic Share]]</f>
        <v>60.881287726358153</v>
      </c>
      <c r="H41" s="156">
        <f>H21*Table3B.2_22Delay[[#This Row],[Truck Traffic]]</f>
        <v>0.19779451710261572</v>
      </c>
    </row>
    <row r="42" spans="1:9">
      <c r="A42" s="67"/>
      <c r="B42" s="143">
        <v>0.45833333333333298</v>
      </c>
      <c r="C42" s="157">
        <v>0.97908745247148288</v>
      </c>
      <c r="D42" s="157">
        <v>2.0912547528517109E-2</v>
      </c>
      <c r="E42" s="267">
        <f>C22*Table3B.2_22Delay[[#This Row],[Car Traffic Share]]</f>
        <v>3279.9429657794676</v>
      </c>
      <c r="F42" s="156">
        <f>H22*Table3B.2_22Delay[[#This Row],[Car Traffic]]</f>
        <v>10.307514496197717</v>
      </c>
      <c r="G42" s="155">
        <f>C22*Table3B.2_22Delay[[#This Row],[Truck Traffic Share]]</f>
        <v>70.057034220532316</v>
      </c>
      <c r="H42" s="156">
        <f>H22*Table3B.2_22Delay[[#This Row],[Truck Traffic]]</f>
        <v>0.2201605038022813</v>
      </c>
    </row>
    <row r="43" spans="1:9">
      <c r="A43" s="67"/>
      <c r="B43" s="143">
        <v>0.5</v>
      </c>
      <c r="C43" s="157">
        <v>0.96397941680960553</v>
      </c>
      <c r="D43" s="157">
        <v>3.6020583190394515E-2</v>
      </c>
      <c r="E43" s="267">
        <f>C23*Table3B.2_22Delay[[#This Row],[Car Traffic Share]]</f>
        <v>3355.6123499142368</v>
      </c>
      <c r="F43" s="156">
        <f>H23*Table3B.2_22Delay[[#This Row],[Car Traffic]]</f>
        <v>11.558766571374118</v>
      </c>
      <c r="G43" s="155">
        <f>C23*Table3B.2_22Delay[[#This Row],[Truck Traffic Share]]</f>
        <v>125.38765008576331</v>
      </c>
      <c r="H43" s="156">
        <f>H23*Table3B.2_22Delay[[#This Row],[Truck Traffic]]</f>
        <v>0.43191120640365926</v>
      </c>
    </row>
    <row r="44" spans="1:9">
      <c r="A44" s="67"/>
      <c r="B44" s="143">
        <v>0.54166666666666696</v>
      </c>
      <c r="C44" s="157">
        <v>0.96923076923076923</v>
      </c>
      <c r="D44" s="157">
        <v>3.0769230769230771E-2</v>
      </c>
      <c r="E44" s="267">
        <f>C24*Table3B.2_22Delay[[#This Row],[Car Traffic Share]]</f>
        <v>3579.3692307692309</v>
      </c>
      <c r="F44" s="156">
        <f>H24*Table3B.2_22Delay[[#This Row],[Car Traffic]]</f>
        <v>14.350199230769229</v>
      </c>
      <c r="G44" s="155">
        <f>C24*Table3B.2_22Delay[[#This Row],[Truck Traffic Share]]</f>
        <v>113.63076923076923</v>
      </c>
      <c r="H44" s="156">
        <f>H24*Table3B.2_22Delay[[#This Row],[Truck Traffic]]</f>
        <v>0.45556188034188033</v>
      </c>
    </row>
    <row r="45" spans="1:9">
      <c r="A45" s="67"/>
      <c r="B45" s="143">
        <v>0.58333333333333304</v>
      </c>
      <c r="C45" s="157">
        <v>0.98150289017341041</v>
      </c>
      <c r="D45" s="157">
        <v>1.8497109826589597E-2</v>
      </c>
      <c r="E45" s="267">
        <f>C25*Table3B.2_22Delay[[#This Row],[Car Traffic Share]]</f>
        <v>4003.5502890173411</v>
      </c>
      <c r="F45" s="156">
        <f>H25*Table3B.2_22Delay[[#This Row],[Car Traffic]]</f>
        <v>16.98429134874759</v>
      </c>
      <c r="G45" s="155">
        <f>C25*Table3B.2_22Delay[[#This Row],[Truck Traffic Share]]</f>
        <v>75.449710982658971</v>
      </c>
      <c r="H45" s="156">
        <f>H25*Table3B.2_22Delay[[#This Row],[Truck Traffic]]</f>
        <v>0.32008087347463071</v>
      </c>
    </row>
    <row r="46" spans="1:9">
      <c r="A46" s="67"/>
      <c r="B46" s="143">
        <v>0.625</v>
      </c>
      <c r="C46" s="157">
        <v>0.9779874213836478</v>
      </c>
      <c r="D46" s="157">
        <v>2.20125786163522E-2</v>
      </c>
      <c r="E46" s="267">
        <f>C26*Table3B.2_22Delay[[#This Row],[Car Traffic Share]]</f>
        <v>4620.0125786163526</v>
      </c>
      <c r="F46" s="156">
        <f>H26*Table3B.2_22Delay[[#This Row],[Car Traffic]]</f>
        <v>24.345437508735152</v>
      </c>
      <c r="G46" s="155">
        <f>C26*Table3B.2_22Delay[[#This Row],[Truck Traffic Share]]</f>
        <v>103.98742138364778</v>
      </c>
      <c r="H46" s="156">
        <f>H26*Table3B.2_22Delay[[#This Row],[Truck Traffic]]</f>
        <v>0.54796804682040523</v>
      </c>
    </row>
    <row r="47" spans="1:9">
      <c r="A47" s="67"/>
      <c r="B47" s="143">
        <v>0.66666666666666696</v>
      </c>
      <c r="C47" s="157">
        <v>0.99905660377358485</v>
      </c>
      <c r="D47" s="157">
        <v>9.4339622641509435E-4</v>
      </c>
      <c r="E47" s="267">
        <f>C27*Table3B.2_22Delay[[#This Row],[Car Traffic Share]]</f>
        <v>5224.0669811320749</v>
      </c>
      <c r="F47" s="156">
        <f>H27*Table3B.2_22Delay[[#This Row],[Car Traffic]]</f>
        <v>39.923245440251563</v>
      </c>
      <c r="G47" s="155">
        <f>C27*Table3B.2_22Delay[[#This Row],[Truck Traffic Share]]</f>
        <v>4.9330188679245284</v>
      </c>
      <c r="H47" s="156">
        <f>H27*Table3B.2_22Delay[[#This Row],[Truck Traffic]]</f>
        <v>3.7699004192872115E-2</v>
      </c>
    </row>
    <row r="48" spans="1:9">
      <c r="A48" s="67"/>
      <c r="B48" s="143">
        <v>0.70833333333333304</v>
      </c>
      <c r="C48" s="157">
        <v>0.99099999999999999</v>
      </c>
      <c r="D48" s="157">
        <v>8.9999999999999993E-3</v>
      </c>
      <c r="E48" s="267">
        <f>C28*Table3B.2_22Delay[[#This Row],[Car Traffic Share]]</f>
        <v>5312.7510000000002</v>
      </c>
      <c r="F48" s="156">
        <f>H28*Table3B.2_22Delay[[#This Row],[Car Traffic]]</f>
        <v>73.039133455555557</v>
      </c>
      <c r="G48" s="155">
        <f>C28*Table3B.2_22Delay[[#This Row],[Truck Traffic Share]]</f>
        <v>48.248999999999995</v>
      </c>
      <c r="H48" s="156">
        <f>H28*Table3B.2_22Delay[[#This Row],[Truck Traffic]]</f>
        <v>0.66332209999999991</v>
      </c>
    </row>
    <row r="49" spans="1:9">
      <c r="A49" s="67"/>
      <c r="B49" s="143">
        <v>0.75</v>
      </c>
      <c r="C49" s="157">
        <v>0.99242424242424243</v>
      </c>
      <c r="D49" s="157">
        <v>7.575757575757576E-3</v>
      </c>
      <c r="E49" s="267">
        <f>C29*Table3B.2_22Delay[[#This Row],[Car Traffic Share]]</f>
        <v>5084.189393939394</v>
      </c>
      <c r="F49" s="156">
        <f>H29*Table3B.2_22Delay[[#This Row],[Car Traffic]]</f>
        <v>78.404870096801346</v>
      </c>
      <c r="G49" s="155">
        <f>C29*Table3B.2_22Delay[[#This Row],[Truck Traffic Share]]</f>
        <v>38.810606060606062</v>
      </c>
      <c r="H49" s="156">
        <f>H29*Table3B.2_22Delay[[#This Row],[Truck Traffic]]</f>
        <v>0.59851045875420872</v>
      </c>
    </row>
    <row r="50" spans="1:9">
      <c r="A50" s="67"/>
      <c r="B50" s="143">
        <v>0.79166666666666663</v>
      </c>
      <c r="C50" s="157">
        <v>0.98581560283687941</v>
      </c>
      <c r="D50" s="157">
        <v>1.4184397163120567E-2</v>
      </c>
      <c r="E50" s="267">
        <f>C30*Table3B.2_22Delay[[#This Row],[Car Traffic Share]]</f>
        <v>3779.6170212765956</v>
      </c>
      <c r="F50" s="156">
        <f>H30*Table3B.2_22Delay[[#This Row],[Car Traffic]]</f>
        <v>19.564846966115052</v>
      </c>
      <c r="G50" s="155">
        <f>C30*Table3B.2_22Delay[[#This Row],[Truck Traffic Share]]</f>
        <v>54.382978723404257</v>
      </c>
      <c r="H50" s="156">
        <f>H30*Table3B.2_22Delay[[#This Row],[Truck Traffic]]</f>
        <v>0.28150858944050439</v>
      </c>
    </row>
    <row r="51" spans="1:9" ht="13.5" thickBot="1">
      <c r="A51" s="67"/>
      <c r="B51" s="143">
        <v>0.83333333333333337</v>
      </c>
      <c r="C51" s="159">
        <v>1</v>
      </c>
      <c r="D51" s="159">
        <v>0</v>
      </c>
      <c r="E51" s="268">
        <f>C31*Table3B.2_22Delay[[#This Row],[Car Traffic Share]]</f>
        <v>2745</v>
      </c>
      <c r="F51" s="161">
        <f>H31*Table3B.2_22Delay[[#This Row],[Car Traffic]]</f>
        <v>8.77653888888889</v>
      </c>
      <c r="G51" s="160">
        <f>C31*Table3B.2_22Delay[[#This Row],[Truck Traffic Share]]</f>
        <v>0</v>
      </c>
      <c r="H51" s="161">
        <f>H31*Table3B.2_22Delay[[#This Row],[Truck Traffic]]</f>
        <v>0</v>
      </c>
    </row>
    <row r="52" spans="1:9" ht="13.5" thickTop="1">
      <c r="A52" s="67"/>
      <c r="B52" s="90" t="s">
        <v>26</v>
      </c>
      <c r="C52" s="351">
        <f>SUBTOTAL(101,Table3B.2_22Delay[Car Traffic Share])</f>
        <v>0.9783761181259405</v>
      </c>
      <c r="D52" s="351">
        <f>SUBTOTAL(101,Table3B.2_22Delay[Truck Traffic Share])</f>
        <v>2.1623881874059583E-2</v>
      </c>
      <c r="E52" s="154">
        <f>SUBTOTAL(109,Table3B.2_22Delay[Car Traffic])</f>
        <v>57223.311282885996</v>
      </c>
      <c r="F52" s="154">
        <f>SUBTOTAL(109,Table3B.2_22Delay[Car Delay 
(hrs)])</f>
        <v>368.49510951670123</v>
      </c>
      <c r="G52" s="154">
        <f>SUBTOTAL(109,Table3B.2_22Delay[Truck Traffic])</f>
        <v>1206.6887171139974</v>
      </c>
      <c r="H52" s="154">
        <f>SUBTOTAL(109,Table3B.2_22Delay[Truck Delay (hrs)])</f>
        <v>6.2049738166320392</v>
      </c>
    </row>
    <row r="53" spans="1:9">
      <c r="A53" s="67"/>
      <c r="C53" s="69"/>
      <c r="D53" s="131"/>
      <c r="E53" s="142"/>
      <c r="F53" s="152"/>
      <c r="G53" s="142"/>
      <c r="H53" s="152"/>
    </row>
    <row r="54" spans="1:9">
      <c r="A54" s="67"/>
      <c r="B54" s="63" t="s">
        <v>192</v>
      </c>
      <c r="I54" s="92"/>
    </row>
    <row r="55" spans="1:9">
      <c r="A55" s="67"/>
      <c r="B55" s="397"/>
      <c r="C55" s="397"/>
      <c r="D55" s="397"/>
      <c r="E55" s="397"/>
      <c r="F55" s="397"/>
      <c r="G55" s="397"/>
      <c r="H55" s="397"/>
    </row>
    <row r="56" spans="1:9" ht="25.5">
      <c r="A56" s="67"/>
      <c r="B56" s="123" t="s">
        <v>178</v>
      </c>
      <c r="C56" s="123" t="s">
        <v>179</v>
      </c>
      <c r="D56" s="123" t="s">
        <v>180</v>
      </c>
      <c r="E56" s="123" t="s">
        <v>181</v>
      </c>
      <c r="F56" s="123" t="s">
        <v>182</v>
      </c>
      <c r="G56" s="123" t="s">
        <v>183</v>
      </c>
      <c r="H56" s="123" t="s">
        <v>184</v>
      </c>
    </row>
    <row r="57" spans="1:9">
      <c r="A57" s="67"/>
      <c r="B57" s="143">
        <v>0.25</v>
      </c>
      <c r="C57" s="347">
        <v>1272</v>
      </c>
      <c r="D57" s="347">
        <v>1000.72</v>
      </c>
      <c r="E57" s="347">
        <v>28.415694444444444</v>
      </c>
      <c r="F57" s="347">
        <v>35.22</v>
      </c>
      <c r="G57" s="347">
        <v>2.5115166666666666</v>
      </c>
      <c r="H57" s="348">
        <f>Table3B.3_27TTS_NB[[#This Row],[Total Delay (hr)]]/Table3B.3_27TTS_NB[[#This Row],[Total Vehicles in Network]]</f>
        <v>1.9744627882599579E-3</v>
      </c>
    </row>
    <row r="58" spans="1:9">
      <c r="A58" s="67"/>
      <c r="B58" s="143">
        <v>0.29166666666666702</v>
      </c>
      <c r="C58" s="347">
        <v>4751</v>
      </c>
      <c r="D58" s="347">
        <v>3846.67</v>
      </c>
      <c r="E58" s="347">
        <v>129.76916666666668</v>
      </c>
      <c r="F58" s="347">
        <v>29.65</v>
      </c>
      <c r="G58" s="347">
        <v>29.728780555555556</v>
      </c>
      <c r="H58" s="348">
        <f>Table3B.3_27TTS_NB[[#This Row],[Total Delay (hr)]]/Table3B.3_27TTS_NB[[#This Row],[Total Vehicles in Network]]</f>
        <v>6.2573733015271636E-3</v>
      </c>
    </row>
    <row r="59" spans="1:9">
      <c r="A59" s="67"/>
      <c r="B59" s="143">
        <v>0.33333333333333298</v>
      </c>
      <c r="C59" s="347">
        <v>3052</v>
      </c>
      <c r="D59" s="347">
        <v>2402.3000000000002</v>
      </c>
      <c r="E59" s="347">
        <v>71.914455555555563</v>
      </c>
      <c r="F59" s="347">
        <v>33.409999999999997</v>
      </c>
      <c r="G59" s="347">
        <v>9.6171249999999997</v>
      </c>
      <c r="H59" s="348">
        <f>Table3B.3_27TTS_NB[[#This Row],[Total Delay (hr)]]/Table3B.3_27TTS_NB[[#This Row],[Total Vehicles in Network]]</f>
        <v>3.1510894495412841E-3</v>
      </c>
    </row>
    <row r="60" spans="1:9">
      <c r="A60" s="67"/>
      <c r="B60" s="143">
        <v>0.375</v>
      </c>
      <c r="C60" s="347">
        <v>4556</v>
      </c>
      <c r="D60" s="347">
        <v>3671.83</v>
      </c>
      <c r="E60" s="347">
        <v>118.79076111111111</v>
      </c>
      <c r="F60" s="347">
        <v>30.94</v>
      </c>
      <c r="G60" s="347">
        <v>23.286786111111109</v>
      </c>
      <c r="H60" s="348">
        <f>Table3B.3_27TTS_NB[[#This Row],[Total Delay (hr)]]/Table3B.3_27TTS_NB[[#This Row],[Total Vehicles in Network]]</f>
        <v>5.1112348795239486E-3</v>
      </c>
    </row>
    <row r="61" spans="1:9">
      <c r="A61" s="67"/>
      <c r="B61" s="143">
        <v>0.41666666666666702</v>
      </c>
      <c r="C61" s="347">
        <v>3406</v>
      </c>
      <c r="D61" s="347">
        <v>2772.93</v>
      </c>
      <c r="E61" s="347">
        <v>83.519888888888886</v>
      </c>
      <c r="F61" s="347">
        <v>33.21</v>
      </c>
      <c r="G61" s="347">
        <v>11.029016666666667</v>
      </c>
      <c r="H61" s="348">
        <f>Table3B.3_27TTS_NB[[#This Row],[Total Delay (hr)]]/Table3B.3_27TTS_NB[[#This Row],[Total Vehicles in Network]]</f>
        <v>3.2381141123507535E-3</v>
      </c>
    </row>
    <row r="62" spans="1:9">
      <c r="A62" s="67"/>
      <c r="B62" s="143">
        <v>0.45833333333333298</v>
      </c>
      <c r="C62" s="347">
        <v>3393</v>
      </c>
      <c r="D62" s="347">
        <v>2756.08</v>
      </c>
      <c r="E62" s="347">
        <v>82.675677777777778</v>
      </c>
      <c r="F62" s="347">
        <v>33.340000000000003</v>
      </c>
      <c r="G62" s="347">
        <v>10.688366666666667</v>
      </c>
      <c r="H62" s="348">
        <f>Table3B.3_27TTS_NB[[#This Row],[Total Delay (hr)]]/Table3B.3_27TTS_NB[[#This Row],[Total Vehicles in Network]]</f>
        <v>3.15012280184694E-3</v>
      </c>
    </row>
    <row r="63" spans="1:9">
      <c r="A63" s="67"/>
      <c r="B63" s="143">
        <v>0.5</v>
      </c>
      <c r="C63" s="347">
        <v>3523</v>
      </c>
      <c r="D63" s="347">
        <v>2884.78</v>
      </c>
      <c r="E63" s="347">
        <v>87.836427777777786</v>
      </c>
      <c r="F63" s="347">
        <v>32.85</v>
      </c>
      <c r="G63" s="347">
        <v>12.303541666666666</v>
      </c>
      <c r="H63" s="348">
        <f>Table3B.3_27TTS_NB[[#This Row],[Total Delay (hr)]]/Table3B.3_27TTS_NB[[#This Row],[Total Vehicles in Network]]</f>
        <v>3.4923479042482729E-3</v>
      </c>
    </row>
    <row r="64" spans="1:9">
      <c r="A64" s="67"/>
      <c r="B64" s="143">
        <v>0.54166666666666696</v>
      </c>
      <c r="C64" s="347">
        <v>3740</v>
      </c>
      <c r="D64" s="347">
        <v>2962.12</v>
      </c>
      <c r="E64" s="347">
        <v>93.50740555555555</v>
      </c>
      <c r="F64" s="347">
        <v>31.68</v>
      </c>
      <c r="G64" s="347">
        <v>15.046319444444444</v>
      </c>
      <c r="H64" s="348">
        <f>Table3B.3_27TTS_NB[[#This Row],[Total Delay (hr)]]/Table3B.3_27TTS_NB[[#This Row],[Total Vehicles in Network]]</f>
        <v>4.0230800653594774E-3</v>
      </c>
    </row>
    <row r="65" spans="1:8">
      <c r="A65" s="67"/>
      <c r="B65" s="143">
        <v>0.58333333333333304</v>
      </c>
      <c r="C65" s="347">
        <v>4139</v>
      </c>
      <c r="D65" s="347">
        <v>3217.99</v>
      </c>
      <c r="E65" s="347">
        <v>103.1511</v>
      </c>
      <c r="F65" s="347">
        <v>31.2</v>
      </c>
      <c r="G65" s="347">
        <v>17.984405555555554</v>
      </c>
      <c r="H65" s="348">
        <f>Table3B.3_27TTS_NB[[#This Row],[Total Delay (hr)]]/Table3B.3_27TTS_NB[[#This Row],[Total Vehicles in Network]]</f>
        <v>4.3451088561380895E-3</v>
      </c>
    </row>
    <row r="66" spans="1:8">
      <c r="A66" s="67"/>
      <c r="B66" s="143">
        <v>0.625</v>
      </c>
      <c r="C66" s="347">
        <v>4786</v>
      </c>
      <c r="D66" s="347">
        <v>3784.49</v>
      </c>
      <c r="E66" s="347">
        <v>126.15054444444445</v>
      </c>
      <c r="F66" s="347">
        <v>30.01</v>
      </c>
      <c r="G66" s="347">
        <v>25.636894444444447</v>
      </c>
      <c r="H66" s="348">
        <f>Table3B.3_27TTS_NB[[#This Row],[Total Delay (hr)]]/Table3B.3_27TTS_NB[[#This Row],[Total Vehicles in Network]]</f>
        <v>5.3566432186469802E-3</v>
      </c>
    </row>
    <row r="67" spans="1:8">
      <c r="A67" s="67"/>
      <c r="B67" s="143">
        <v>0.66666666666666696</v>
      </c>
      <c r="C67" s="347">
        <v>5301</v>
      </c>
      <c r="D67" s="347">
        <v>4221.91</v>
      </c>
      <c r="E67" s="347">
        <v>155.20002777777776</v>
      </c>
      <c r="F67" s="347">
        <v>27.24</v>
      </c>
      <c r="G67" s="347">
        <v>42.871580555555553</v>
      </c>
      <c r="H67" s="348">
        <f>Table3B.3_27TTS_NB[[#This Row],[Total Delay (hr)]]/Table3B.3_27TTS_NB[[#This Row],[Total Vehicles in Network]]</f>
        <v>8.0874515290616025E-3</v>
      </c>
    </row>
    <row r="68" spans="1:8">
      <c r="A68" s="67"/>
      <c r="B68" s="143">
        <v>0.70833333333333304</v>
      </c>
      <c r="C68" s="347">
        <v>5437</v>
      </c>
      <c r="D68" s="347">
        <v>4262.2700000000004</v>
      </c>
      <c r="E68" s="347">
        <v>198.84052777777779</v>
      </c>
      <c r="F68" s="347">
        <v>21.8</v>
      </c>
      <c r="G68" s="347">
        <v>85.62329166666666</v>
      </c>
      <c r="H68" s="348">
        <f>Table3B.3_27TTS_NB[[#This Row],[Total Delay (hr)]]/Table3B.3_27TTS_NB[[#This Row],[Total Vehicles in Network]]</f>
        <v>1.5748260376433079E-2</v>
      </c>
    </row>
    <row r="69" spans="1:8">
      <c r="A69" s="67"/>
      <c r="B69" s="143">
        <v>0.75</v>
      </c>
      <c r="C69" s="347">
        <v>5207</v>
      </c>
      <c r="D69" s="347">
        <v>4092.97</v>
      </c>
      <c r="E69" s="347">
        <v>214.74974444444445</v>
      </c>
      <c r="F69" s="347">
        <v>19.97</v>
      </c>
      <c r="G69" s="347">
        <v>105.6206</v>
      </c>
      <c r="H69" s="348">
        <f>Table3B.3_27TTS_NB[[#This Row],[Total Delay (hr)]]/Table3B.3_27TTS_NB[[#This Row],[Total Vehicles in Network]]</f>
        <v>2.0284347993086229E-2</v>
      </c>
    </row>
    <row r="70" spans="1:8">
      <c r="A70" s="67"/>
      <c r="B70" s="143">
        <v>0.79166666666666663</v>
      </c>
      <c r="C70" s="347">
        <v>3902</v>
      </c>
      <c r="D70" s="347">
        <v>3084.56</v>
      </c>
      <c r="E70" s="347">
        <v>105.261</v>
      </c>
      <c r="F70" s="347">
        <v>29.59</v>
      </c>
      <c r="G70" s="347">
        <v>23.113022222222224</v>
      </c>
      <c r="H70" s="348">
        <f>Table3B.3_27TTS_NB[[#This Row],[Total Delay (hr)]]/Table3B.3_27TTS_NB[[#This Row],[Total Vehicles in Network]]</f>
        <v>5.9233783245059516E-3</v>
      </c>
    </row>
    <row r="71" spans="1:8">
      <c r="A71" s="67"/>
      <c r="B71" s="143">
        <v>0.83333333333333337</v>
      </c>
      <c r="C71" s="347">
        <v>2787</v>
      </c>
      <c r="D71" s="347">
        <v>2207.0100000000002</v>
      </c>
      <c r="E71" s="347">
        <v>67.696661111111112</v>
      </c>
      <c r="F71" s="347">
        <v>32.61</v>
      </c>
      <c r="G71" s="347">
        <v>9.1194277777777781</v>
      </c>
      <c r="H71" s="348">
        <f>Table3B.3_27TTS_NB[[#This Row],[Total Delay (hr)]]/Table3B.3_27TTS_NB[[#This Row],[Total Vehicles in Network]]</f>
        <v>3.2721305266515169E-3</v>
      </c>
    </row>
    <row r="72" spans="1:8">
      <c r="A72" s="67"/>
      <c r="B72" s="131" t="s">
        <v>26</v>
      </c>
      <c r="C72" s="153">
        <f>SUBTOTAL(109,Table3B.3_27TTS_NB[Total Vehicles in Network])</f>
        <v>59252</v>
      </c>
      <c r="D72" s="153">
        <f>SUBTOTAL(109,Table3B.3_27TTS_NB[VMT: Total Path Distance (mi)])</f>
        <v>47168.63</v>
      </c>
      <c r="E72" s="153">
        <f>SUBTOTAL(109,Table3B.3_27TTS_NB[VHT: Total Time in Network (hr)])</f>
        <v>1667.4790833333336</v>
      </c>
      <c r="F72" s="153">
        <f>SUBTOTAL(101,Table3B.3_27TTS_NB[Average Speed (mph)])</f>
        <v>30.181333333333331</v>
      </c>
      <c r="G72" s="153">
        <f>SUBTOTAL(109,Table3B.3_27TTS_NB[Total Delay (hr)])</f>
        <v>424.18067500000001</v>
      </c>
      <c r="H72" s="369">
        <f>SUBTOTAL(101,Table3B.3_27TTS_NB[Average Delay (hr/veh)])</f>
        <v>6.2276764084787497E-3</v>
      </c>
    </row>
    <row r="73" spans="1:8">
      <c r="A73" s="67"/>
    </row>
    <row r="74" spans="1:8">
      <c r="A74" s="67"/>
      <c r="B74" s="122" t="s">
        <v>193</v>
      </c>
      <c r="C74" s="89"/>
      <c r="D74" s="89"/>
      <c r="E74" s="89"/>
      <c r="F74" s="89"/>
      <c r="G74" s="89"/>
      <c r="H74" s="89"/>
    </row>
    <row r="75" spans="1:8" ht="12.75" customHeight="1">
      <c r="A75" s="67"/>
      <c r="B75" s="397"/>
      <c r="C75" s="397"/>
      <c r="D75" s="397"/>
      <c r="E75" s="397"/>
      <c r="F75" s="397"/>
      <c r="G75" s="397"/>
      <c r="H75" s="397"/>
    </row>
    <row r="76" spans="1:8" ht="25.5">
      <c r="A76" s="67"/>
      <c r="B76" s="123" t="s">
        <v>178</v>
      </c>
      <c r="C76" s="123" t="s">
        <v>186</v>
      </c>
      <c r="D76" s="84" t="s">
        <v>187</v>
      </c>
      <c r="E76" s="123" t="s">
        <v>188</v>
      </c>
      <c r="F76" s="123" t="s">
        <v>189</v>
      </c>
      <c r="G76" s="123" t="s">
        <v>190</v>
      </c>
      <c r="H76" s="123" t="s">
        <v>191</v>
      </c>
    </row>
    <row r="77" spans="1:8">
      <c r="A77" s="67"/>
      <c r="B77" s="143">
        <v>0.25</v>
      </c>
      <c r="C77" s="157">
        <v>0.9653846153846154</v>
      </c>
      <c r="D77" s="157">
        <v>3.4615384615384617E-2</v>
      </c>
      <c r="E77" s="267">
        <f>C57*Table3B.4_27Delay_NB[[#This Row],[Car Traffic Share]]</f>
        <v>1227.9692307692308</v>
      </c>
      <c r="F77" s="156">
        <f>H57*Table3B.4_27Delay_NB[[#This Row],[Car Traffic]]</f>
        <v>2.4245795512820512</v>
      </c>
      <c r="G77" s="155">
        <f>C57*Table3B.4_27Delay_NB[[#This Row],[Truck Traffic Share]]</f>
        <v>44.030769230769231</v>
      </c>
      <c r="H77" s="156">
        <f>H57*Table3B.4_27Delay_NB[[#This Row],[Truck Traffic]]</f>
        <v>8.6937115384615377E-2</v>
      </c>
    </row>
    <row r="78" spans="1:8">
      <c r="A78" s="67"/>
      <c r="B78" s="143">
        <v>0.29166666666666702</v>
      </c>
      <c r="C78" s="157">
        <v>0.96461538461538465</v>
      </c>
      <c r="D78" s="157">
        <v>3.5384615384615382E-2</v>
      </c>
      <c r="E78" s="267">
        <f>C58*Table3B.4_27Delay_NB[[#This Row],[Car Traffic Share]]</f>
        <v>4582.8876923076923</v>
      </c>
      <c r="F78" s="156">
        <f>H58*Table3B.4_27Delay_NB[[#This Row],[Car Traffic]]</f>
        <v>28.676839089743588</v>
      </c>
      <c r="G78" s="155">
        <f>C58*Table3B.4_27Delay_NB[[#This Row],[Truck Traffic Share]]</f>
        <v>168.1123076923077</v>
      </c>
      <c r="H78" s="156">
        <f>H58*Table3B.4_27Delay_NB[[#This Row],[Truck Traffic]]</f>
        <v>1.0519414658119657</v>
      </c>
    </row>
    <row r="79" spans="1:8">
      <c r="A79" s="67"/>
      <c r="B79" s="143">
        <v>0.33333333333333298</v>
      </c>
      <c r="C79" s="157">
        <v>0.97201767304860087</v>
      </c>
      <c r="D79" s="157">
        <v>2.7982326951399118E-2</v>
      </c>
      <c r="E79" s="267">
        <f>C59*Table3B.4_27Delay_NB[[#This Row],[Car Traffic Share]]</f>
        <v>2966.5979381443299</v>
      </c>
      <c r="F79" s="156">
        <f>H59*Table3B.4_27Delay_NB[[#This Row],[Car Traffic]]</f>
        <v>9.348015463917525</v>
      </c>
      <c r="G79" s="155">
        <f>C59*Table3B.4_27Delay_NB[[#This Row],[Truck Traffic Share]]</f>
        <v>85.402061855670112</v>
      </c>
      <c r="H79" s="156">
        <f>H59*Table3B.4_27Delay_NB[[#This Row],[Truck Traffic]]</f>
        <v>0.26910953608247423</v>
      </c>
    </row>
    <row r="80" spans="1:8">
      <c r="A80" s="67"/>
      <c r="B80" s="143">
        <v>0.375</v>
      </c>
      <c r="C80" s="157">
        <v>0.9516483516483516</v>
      </c>
      <c r="D80" s="157">
        <v>4.8351648351648353E-2</v>
      </c>
      <c r="E80" s="267">
        <f>C60*Table3B.4_27Delay_NB[[#This Row],[Car Traffic Share]]</f>
        <v>4335.7098901098898</v>
      </c>
      <c r="F80" s="156">
        <f>H60*Table3B.4_27Delay_NB[[#This Row],[Car Traffic]]</f>
        <v>22.160831617826616</v>
      </c>
      <c r="G80" s="155">
        <f>C60*Table3B.4_27Delay_NB[[#This Row],[Truck Traffic Share]]</f>
        <v>220.2901098901099</v>
      </c>
      <c r="H80" s="156">
        <f>H60*Table3B.4_27Delay_NB[[#This Row],[Truck Traffic]]</f>
        <v>1.1259544932844934</v>
      </c>
    </row>
    <row r="81" spans="1:8">
      <c r="A81" s="67"/>
      <c r="B81" s="143">
        <v>0.41666666666666702</v>
      </c>
      <c r="C81" s="157">
        <v>0.98189134808853118</v>
      </c>
      <c r="D81" s="157">
        <v>1.8108651911468814E-2</v>
      </c>
      <c r="E81" s="267">
        <f>C61*Table3B.4_27Delay_NB[[#This Row],[Car Traffic Share]]</f>
        <v>3344.3219315895371</v>
      </c>
      <c r="F81" s="156">
        <f>H61*Table3B.4_27Delay_NB[[#This Row],[Car Traffic]]</f>
        <v>10.829296042924211</v>
      </c>
      <c r="G81" s="155">
        <f>C61*Table3B.4_27Delay_NB[[#This Row],[Truck Traffic Share]]</f>
        <v>61.678068410462778</v>
      </c>
      <c r="H81" s="156">
        <f>H61*Table3B.4_27Delay_NB[[#This Row],[Truck Traffic]]</f>
        <v>0.19972062374245472</v>
      </c>
    </row>
    <row r="82" spans="1:8">
      <c r="A82" s="67"/>
      <c r="B82" s="143">
        <v>0.45833333333333298</v>
      </c>
      <c r="C82" s="157">
        <v>0.97908745247148288</v>
      </c>
      <c r="D82" s="157">
        <v>2.0912547528517109E-2</v>
      </c>
      <c r="E82" s="267">
        <f>C62*Table3B.4_27Delay_NB[[#This Row],[Car Traffic Share]]</f>
        <v>3322.0437262357414</v>
      </c>
      <c r="F82" s="156">
        <f>H62*Table3B.4_27Delay_NB[[#This Row],[Car Traffic]]</f>
        <v>10.464845690747783</v>
      </c>
      <c r="G82" s="155">
        <f>C62*Table3B.4_27Delay_NB[[#This Row],[Truck Traffic Share]]</f>
        <v>70.956273764258555</v>
      </c>
      <c r="H82" s="156">
        <f>H62*Table3B.4_27Delay_NB[[#This Row],[Truck Traffic]]</f>
        <v>0.22352097591888467</v>
      </c>
    </row>
    <row r="83" spans="1:8">
      <c r="A83" s="67"/>
      <c r="B83" s="143">
        <v>0.5</v>
      </c>
      <c r="C83" s="157">
        <v>0.96397941680960553</v>
      </c>
      <c r="D83" s="157">
        <v>3.6020583190394515E-2</v>
      </c>
      <c r="E83" s="267">
        <f>C63*Table3B.4_27Delay_NB[[#This Row],[Car Traffic Share]]</f>
        <v>3396.0994854202404</v>
      </c>
      <c r="F83" s="156">
        <f>H63*Table3B.4_27Delay_NB[[#This Row],[Car Traffic]]</f>
        <v>11.860360920526015</v>
      </c>
      <c r="G83" s="155">
        <f>C63*Table3B.4_27Delay_NB[[#This Row],[Truck Traffic Share]]</f>
        <v>126.90051457975987</v>
      </c>
      <c r="H83" s="156">
        <f>H63*Table3B.4_27Delay_NB[[#This Row],[Truck Traffic]]</f>
        <v>0.44318074614065178</v>
      </c>
    </row>
    <row r="84" spans="1:8">
      <c r="A84" s="67"/>
      <c r="B84" s="143">
        <v>0.54166666666666696</v>
      </c>
      <c r="C84" s="157">
        <v>0.96923076923076923</v>
      </c>
      <c r="D84" s="157">
        <v>3.0769230769230771E-2</v>
      </c>
      <c r="E84" s="267">
        <f>C64*Table3B.4_27Delay_NB[[#This Row],[Car Traffic Share]]</f>
        <v>3624.9230769230771</v>
      </c>
      <c r="F84" s="156">
        <f>H64*Table3B.4_27Delay_NB[[#This Row],[Car Traffic]]</f>
        <v>14.583355769230771</v>
      </c>
      <c r="G84" s="155">
        <f>C64*Table3B.4_27Delay_NB[[#This Row],[Truck Traffic Share]]</f>
        <v>115.07692307692308</v>
      </c>
      <c r="H84" s="156">
        <f>H64*Table3B.4_27Delay_NB[[#This Row],[Truck Traffic]]</f>
        <v>0.46296367521367526</v>
      </c>
    </row>
    <row r="85" spans="1:8">
      <c r="A85" s="67"/>
      <c r="B85" s="143">
        <v>0.58333333333333304</v>
      </c>
      <c r="C85" s="157">
        <v>0.98150289017341041</v>
      </c>
      <c r="D85" s="157">
        <v>1.8497109826589597E-2</v>
      </c>
      <c r="E85" s="267">
        <f>C65*Table3B.4_27Delay_NB[[#This Row],[Car Traffic Share]]</f>
        <v>4062.4404624277458</v>
      </c>
      <c r="F85" s="156">
        <f>H65*Table3B.4_27Delay_NB[[#This Row],[Car Traffic]]</f>
        <v>17.651746030828516</v>
      </c>
      <c r="G85" s="155">
        <f>C65*Table3B.4_27Delay_NB[[#This Row],[Truck Traffic Share]]</f>
        <v>76.559537572254342</v>
      </c>
      <c r="H85" s="156">
        <f>H65*Table3B.4_27Delay_NB[[#This Row],[Truck Traffic]]</f>
        <v>0.33265952472703914</v>
      </c>
    </row>
    <row r="86" spans="1:8">
      <c r="A86" s="67"/>
      <c r="B86" s="143">
        <v>0.625</v>
      </c>
      <c r="C86" s="157">
        <v>0.9779874213836478</v>
      </c>
      <c r="D86" s="157">
        <v>2.20125786163522E-2</v>
      </c>
      <c r="E86" s="267">
        <f>C66*Table3B.4_27Delay_NB[[#This Row],[Car Traffic Share]]</f>
        <v>4680.6477987421385</v>
      </c>
      <c r="F86" s="156">
        <f>H66*Table3B.4_27Delay_NB[[#This Row],[Car Traffic]]</f>
        <v>25.07256029000699</v>
      </c>
      <c r="G86" s="155">
        <f>C66*Table3B.4_27Delay_NB[[#This Row],[Truck Traffic Share]]</f>
        <v>105.35220125786162</v>
      </c>
      <c r="H86" s="156">
        <f>H66*Table3B.4_27Delay_NB[[#This Row],[Truck Traffic]]</f>
        <v>0.56433415443745627</v>
      </c>
    </row>
    <row r="87" spans="1:8">
      <c r="A87" s="67"/>
      <c r="B87" s="143">
        <v>0.66666666666666696</v>
      </c>
      <c r="C87" s="157">
        <v>0.99905660377358485</v>
      </c>
      <c r="D87" s="157">
        <v>9.4339622641509435E-4</v>
      </c>
      <c r="E87" s="267">
        <f>C67*Table3B.4_27Delay_NB[[#This Row],[Car Traffic Share]]</f>
        <v>5295.9990566037732</v>
      </c>
      <c r="F87" s="156">
        <f>H67*Table3B.4_27Delay_NB[[#This Row],[Car Traffic]]</f>
        <v>42.831135668238993</v>
      </c>
      <c r="G87" s="155">
        <f>C67*Table3B.4_27Delay_NB[[#This Row],[Truck Traffic Share]]</f>
        <v>5.0009433962264147</v>
      </c>
      <c r="H87" s="156">
        <f>H67*Table3B.4_27Delay_NB[[#This Row],[Truck Traffic]]</f>
        <v>4.0444887316561838E-2</v>
      </c>
    </row>
    <row r="88" spans="1:8">
      <c r="A88" s="67"/>
      <c r="B88" s="143">
        <v>0.70833333333333304</v>
      </c>
      <c r="C88" s="157">
        <v>0.99099999999999999</v>
      </c>
      <c r="D88" s="157">
        <v>8.9999999999999993E-3</v>
      </c>
      <c r="E88" s="267">
        <f>C68*Table3B.4_27Delay_NB[[#This Row],[Car Traffic Share]]</f>
        <v>5388.067</v>
      </c>
      <c r="F88" s="156">
        <f>H68*Table3B.4_27Delay_NB[[#This Row],[Car Traffic]]</f>
        <v>84.852682041666654</v>
      </c>
      <c r="G88" s="155">
        <f>C68*Table3B.4_27Delay_NB[[#This Row],[Truck Traffic Share]]</f>
        <v>48.933</v>
      </c>
      <c r="H88" s="156">
        <f>H68*Table3B.4_27Delay_NB[[#This Row],[Truck Traffic]]</f>
        <v>0.77060962499999985</v>
      </c>
    </row>
    <row r="89" spans="1:8">
      <c r="A89" s="67"/>
      <c r="B89" s="143">
        <v>0.75</v>
      </c>
      <c r="C89" s="157">
        <v>0.99242424242424243</v>
      </c>
      <c r="D89" s="157">
        <v>7.575757575757576E-3</v>
      </c>
      <c r="E89" s="267">
        <f>C69*Table3B.4_27Delay_NB[[#This Row],[Car Traffic Share]]</f>
        <v>5167.55303030303</v>
      </c>
      <c r="F89" s="156">
        <f>H69*Table3B.4_27Delay_NB[[#This Row],[Car Traffic]]</f>
        <v>104.82044393939393</v>
      </c>
      <c r="G89" s="155">
        <f>C69*Table3B.4_27Delay_NB[[#This Row],[Truck Traffic Share]]</f>
        <v>39.446969696969695</v>
      </c>
      <c r="H89" s="156">
        <f>H69*Table3B.4_27Delay_NB[[#This Row],[Truck Traffic]]</f>
        <v>0.80015606060606048</v>
      </c>
    </row>
    <row r="90" spans="1:8">
      <c r="A90" s="67"/>
      <c r="B90" s="143">
        <v>0.79166666666666663</v>
      </c>
      <c r="C90" s="157">
        <v>0.98581560283687941</v>
      </c>
      <c r="D90" s="157">
        <v>1.4184397163120567E-2</v>
      </c>
      <c r="E90" s="267">
        <f>C70*Table3B.4_27Delay_NB[[#This Row],[Car Traffic Share]]</f>
        <v>3846.6524822695033</v>
      </c>
      <c r="F90" s="156">
        <f>H70*Table3B.4_27Delay_NB[[#This Row],[Car Traffic]]</f>
        <v>22.78517793538219</v>
      </c>
      <c r="G90" s="155">
        <f>C70*Table3B.4_27Delay_NB[[#This Row],[Truck Traffic Share]]</f>
        <v>55.347517730496456</v>
      </c>
      <c r="H90" s="156">
        <f>H70*Table3B.4_27Delay_NB[[#This Row],[Truck Traffic]]</f>
        <v>0.32784428684003153</v>
      </c>
    </row>
    <row r="91" spans="1:8" ht="13.5" thickBot="1">
      <c r="A91" s="67"/>
      <c r="B91" s="143">
        <v>0.83333333333333337</v>
      </c>
      <c r="C91" s="157">
        <v>1</v>
      </c>
      <c r="D91" s="157">
        <v>0</v>
      </c>
      <c r="E91" s="268">
        <f>C71*Table3B.4_27Delay_NB[[#This Row],[Car Traffic Share]]</f>
        <v>2787</v>
      </c>
      <c r="F91" s="161">
        <f>H71*Table3B.4_27Delay_NB[[#This Row],[Car Traffic]]</f>
        <v>9.1194277777777781</v>
      </c>
      <c r="G91" s="160">
        <f>C71*Table3B.4_27Delay_NB[[#This Row],[Truck Traffic Share]]</f>
        <v>0</v>
      </c>
      <c r="H91" s="161">
        <f>H71*Table3B.4_27Delay_NB[[#This Row],[Truck Traffic]]</f>
        <v>0</v>
      </c>
    </row>
    <row r="92" spans="1:8" ht="13.5" thickTop="1">
      <c r="A92" s="67"/>
      <c r="B92" s="90" t="s">
        <v>26</v>
      </c>
      <c r="C92" s="81"/>
      <c r="D92" s="81"/>
      <c r="E92" s="154">
        <f>SUBTOTAL(109,Table3B.4_27Delay_NB[Car Traffic])</f>
        <v>58028.912801845938</v>
      </c>
      <c r="F92" s="154">
        <f>SUBTOTAL(109,Table3B.4_27Delay_NB[Car Delay 
(hrs)])</f>
        <v>417.48129782949366</v>
      </c>
      <c r="G92" s="154">
        <f>SUBTOTAL(109,Table3B.4_27Delay_NB[Truck Traffic])</f>
        <v>1223.0871981540697</v>
      </c>
      <c r="H92" s="154">
        <f>SUBTOTAL(109,Table3B.4_27Delay_NB[Truck Delay (hrs)])</f>
        <v>6.6993771705063629</v>
      </c>
    </row>
    <row r="93" spans="1:8">
      <c r="A93" s="67"/>
      <c r="C93" s="91"/>
      <c r="D93" s="90"/>
      <c r="E93" s="144"/>
      <c r="F93" s="145"/>
      <c r="G93" s="145"/>
      <c r="H93" s="145"/>
    </row>
    <row r="94" spans="1:8">
      <c r="A94" s="67"/>
      <c r="B94" s="63" t="s">
        <v>194</v>
      </c>
    </row>
    <row r="95" spans="1:8">
      <c r="A95" s="67"/>
      <c r="B95" s="397"/>
      <c r="C95" s="397"/>
      <c r="D95" s="397"/>
      <c r="E95" s="397"/>
      <c r="F95" s="397"/>
      <c r="G95" s="397"/>
      <c r="H95" s="397"/>
    </row>
    <row r="96" spans="1:8" ht="38.25">
      <c r="A96" s="67"/>
      <c r="B96" s="123" t="s">
        <v>178</v>
      </c>
      <c r="C96" s="123" t="s">
        <v>195</v>
      </c>
      <c r="D96" s="123" t="s">
        <v>180</v>
      </c>
      <c r="E96" s="123" t="s">
        <v>196</v>
      </c>
      <c r="F96" s="123" t="s">
        <v>182</v>
      </c>
      <c r="G96" s="123" t="s">
        <v>197</v>
      </c>
      <c r="H96" s="123" t="s">
        <v>198</v>
      </c>
    </row>
    <row r="97" spans="1:8">
      <c r="A97" s="67"/>
      <c r="B97" s="143">
        <v>0.25</v>
      </c>
      <c r="C97" s="347">
        <v>1281</v>
      </c>
      <c r="D97" s="347">
        <v>907.61</v>
      </c>
      <c r="E97" s="347">
        <v>31.163305555555553</v>
      </c>
      <c r="F97" s="347">
        <v>29.12</v>
      </c>
      <c r="G97" s="347">
        <v>7.8894027777777778</v>
      </c>
      <c r="H97" s="348">
        <f>Table3B.5_27TTS_PA[[#This Row],[Total Delay: All Vehicles (hr)]]/Table3B.5_27TTS_PA[[#This Row],[Total Vehicles Traveling Within the Network]]</f>
        <v>6.1587843698499437E-3</v>
      </c>
    </row>
    <row r="98" spans="1:8">
      <c r="A98" s="67"/>
      <c r="B98" s="143">
        <v>0.29166666666666702</v>
      </c>
      <c r="C98" s="347">
        <v>3004</v>
      </c>
      <c r="D98" s="347">
        <v>2108.1799999999998</v>
      </c>
      <c r="E98" s="347">
        <v>76.929477777777777</v>
      </c>
      <c r="F98" s="347">
        <v>27.41</v>
      </c>
      <c r="G98" s="347">
        <v>22.655105555555558</v>
      </c>
      <c r="H98" s="348">
        <f>Table3B.5_27TTS_PA[[#This Row],[Total Delay: All Vehicles (hr)]]/Table3B.5_27TTS_PA[[#This Row],[Total Vehicles Traveling Within the Network]]</f>
        <v>7.5416463234206253E-3</v>
      </c>
    </row>
    <row r="99" spans="1:8">
      <c r="A99" s="67"/>
      <c r="B99" s="143">
        <v>0.33333333333333298</v>
      </c>
      <c r="C99" s="347">
        <v>4853</v>
      </c>
      <c r="D99" s="347">
        <v>3428.99</v>
      </c>
      <c r="E99" s="347">
        <v>134.29097222222222</v>
      </c>
      <c r="F99" s="347">
        <v>25.54</v>
      </c>
      <c r="G99" s="347">
        <v>46.01059166666667</v>
      </c>
      <c r="H99" s="348">
        <f>Table3B.5_27TTS_PA[[#This Row],[Total Delay: All Vehicles (hr)]]/Table3B.5_27TTS_PA[[#This Row],[Total Vehicles Traveling Within the Network]]</f>
        <v>9.4808554845799854E-3</v>
      </c>
    </row>
    <row r="100" spans="1:8">
      <c r="A100" s="67"/>
      <c r="B100" s="143">
        <v>0.375</v>
      </c>
      <c r="C100" s="347">
        <v>4661</v>
      </c>
      <c r="D100" s="347">
        <v>3283.63</v>
      </c>
      <c r="E100" s="347">
        <v>125.95271111111111</v>
      </c>
      <c r="F100" s="347">
        <v>26.07</v>
      </c>
      <c r="G100" s="347">
        <v>41.474038888888892</v>
      </c>
      <c r="H100" s="348">
        <f>Table3B.5_27TTS_PA[[#This Row],[Total Delay: All Vehicles (hr)]]/Table3B.5_27TTS_PA[[#This Row],[Total Vehicles Traveling Within the Network]]</f>
        <v>8.8980988819757321E-3</v>
      </c>
    </row>
    <row r="101" spans="1:8">
      <c r="A101" s="67"/>
      <c r="B101" s="143">
        <v>0.41666666666666702</v>
      </c>
      <c r="C101" s="347">
        <v>3458</v>
      </c>
      <c r="D101" s="347">
        <v>2445.35</v>
      </c>
      <c r="E101" s="347">
        <v>89.034083333333342</v>
      </c>
      <c r="F101" s="347">
        <v>27.47</v>
      </c>
      <c r="G101" s="347">
        <v>26.114797222222222</v>
      </c>
      <c r="H101" s="348">
        <f>Table3B.5_27TTS_PA[[#This Row],[Total Delay: All Vehicles (hr)]]/Table3B.5_27TTS_PA[[#This Row],[Total Vehicles Traveling Within the Network]]</f>
        <v>7.5519945697577274E-3</v>
      </c>
    </row>
    <row r="102" spans="1:8">
      <c r="A102" s="67"/>
      <c r="B102" s="143">
        <v>0.45833333333333298</v>
      </c>
      <c r="C102" s="347">
        <v>3453</v>
      </c>
      <c r="D102" s="347">
        <v>2438.84</v>
      </c>
      <c r="E102" s="347">
        <v>87.893238888888888</v>
      </c>
      <c r="F102" s="347">
        <v>27.75</v>
      </c>
      <c r="G102" s="347">
        <v>25.197102777777779</v>
      </c>
      <c r="H102" s="348">
        <f>Table3B.5_27TTS_PA[[#This Row],[Total Delay: All Vehicles (hr)]]/Table3B.5_27TTS_PA[[#This Row],[Total Vehicles Traveling Within the Network]]</f>
        <v>7.2971626926666023E-3</v>
      </c>
    </row>
    <row r="103" spans="1:8">
      <c r="A103" s="67"/>
      <c r="B103" s="143">
        <v>0.5</v>
      </c>
      <c r="C103" s="347">
        <v>3573</v>
      </c>
      <c r="D103" s="347">
        <v>2528.96</v>
      </c>
      <c r="E103" s="347">
        <v>92.51369444444444</v>
      </c>
      <c r="F103" s="347">
        <v>27.34</v>
      </c>
      <c r="G103" s="347">
        <v>27.396236111111111</v>
      </c>
      <c r="H103" s="348">
        <f>Table3B.5_27TTS_PA[[#This Row],[Total Delay: All Vehicles (hr)]]/Table3B.5_27TTS_PA[[#This Row],[Total Vehicles Traveling Within the Network]]</f>
        <v>7.6675723792642347E-3</v>
      </c>
    </row>
    <row r="104" spans="1:8">
      <c r="A104" s="67"/>
      <c r="B104" s="143">
        <v>0.54166666666666696</v>
      </c>
      <c r="C104" s="347">
        <v>3778</v>
      </c>
      <c r="D104" s="347">
        <v>2644.23</v>
      </c>
      <c r="E104" s="347">
        <v>103.05077222222224</v>
      </c>
      <c r="F104" s="347">
        <v>25.66</v>
      </c>
      <c r="G104" s="347">
        <v>34.404441666666671</v>
      </c>
      <c r="H104" s="348">
        <f>Table3B.5_27TTS_PA[[#This Row],[Total Delay: All Vehicles (hr)]]/Table3B.5_27TTS_PA[[#This Row],[Total Vehicles Traveling Within the Network]]</f>
        <v>9.1065224104464448E-3</v>
      </c>
    </row>
    <row r="105" spans="1:8">
      <c r="A105" s="67"/>
      <c r="B105" s="143">
        <v>0.58333333333333304</v>
      </c>
      <c r="C105" s="347">
        <v>4186</v>
      </c>
      <c r="D105" s="347">
        <v>2887.57</v>
      </c>
      <c r="E105" s="347">
        <v>115.33078888888889</v>
      </c>
      <c r="F105" s="347">
        <v>25.04</v>
      </c>
      <c r="G105" s="347">
        <v>40.34941111111111</v>
      </c>
      <c r="H105" s="348">
        <f>Table3B.5_27TTS_PA[[#This Row],[Total Delay: All Vehicles (hr)]]/Table3B.5_27TTS_PA[[#This Row],[Total Vehicles Traveling Within the Network]]</f>
        <v>9.6391330891330892E-3</v>
      </c>
    </row>
    <row r="106" spans="1:8">
      <c r="A106" s="67"/>
      <c r="B106" s="143">
        <v>0.625</v>
      </c>
      <c r="C106" s="347">
        <v>4850</v>
      </c>
      <c r="D106" s="347">
        <v>3370.11</v>
      </c>
      <c r="E106" s="347">
        <v>138.85294999999999</v>
      </c>
      <c r="F106" s="347">
        <v>24.28</v>
      </c>
      <c r="G106" s="347">
        <v>51.169027777777778</v>
      </c>
      <c r="H106" s="348">
        <f>Table3B.5_27TTS_PA[[#This Row],[Total Delay: All Vehicles (hr)]]/Table3B.5_27TTS_PA[[#This Row],[Total Vehicles Traveling Within the Network]]</f>
        <v>1.0550315005727376E-2</v>
      </c>
    </row>
    <row r="107" spans="1:8">
      <c r="A107" s="67"/>
      <c r="B107" s="143">
        <v>0.66666666666666696</v>
      </c>
      <c r="C107" s="347">
        <v>5365</v>
      </c>
      <c r="D107" s="347">
        <v>3750.31</v>
      </c>
      <c r="E107" s="347">
        <v>157.20815555555555</v>
      </c>
      <c r="F107" s="347">
        <v>23.86</v>
      </c>
      <c r="G107" s="347">
        <v>59.702308333333335</v>
      </c>
      <c r="H107" s="348">
        <f>Table3B.5_27TTS_PA[[#This Row],[Total Delay: All Vehicles (hr)]]/Table3B.5_27TTS_PA[[#This Row],[Total Vehicles Traveling Within the Network]]</f>
        <v>1.1128109661385523E-2</v>
      </c>
    </row>
    <row r="108" spans="1:8">
      <c r="A108" s="67"/>
      <c r="B108" s="143">
        <v>0.70833333333333304</v>
      </c>
      <c r="C108" s="347">
        <v>5497</v>
      </c>
      <c r="D108" s="347">
        <v>3827.13</v>
      </c>
      <c r="E108" s="347">
        <v>161.43686111111109</v>
      </c>
      <c r="F108" s="347">
        <v>23.72</v>
      </c>
      <c r="G108" s="347">
        <v>62.077063888888887</v>
      </c>
      <c r="H108" s="348">
        <f>Table3B.5_27TTS_PA[[#This Row],[Total Delay: All Vehicles (hr)]]/Table3B.5_27TTS_PA[[#This Row],[Total Vehicles Traveling Within the Network]]</f>
        <v>1.1292898651789864E-2</v>
      </c>
    </row>
    <row r="109" spans="1:8">
      <c r="A109" s="67"/>
      <c r="B109" s="143">
        <v>0.75</v>
      </c>
      <c r="C109" s="347">
        <v>5167</v>
      </c>
      <c r="D109" s="347">
        <v>3580.86</v>
      </c>
      <c r="E109" s="347">
        <v>150.32404444444447</v>
      </c>
      <c r="F109" s="347">
        <v>23.83</v>
      </c>
      <c r="G109" s="347">
        <v>57.102461111111104</v>
      </c>
      <c r="H109" s="348">
        <f>Table3B.5_27TTS_PA[[#This Row],[Total Delay: All Vehicles (hr)]]/Table3B.5_27TTS_PA[[#This Row],[Total Vehicles Traveling Within the Network]]</f>
        <v>1.1051376255295356E-2</v>
      </c>
    </row>
    <row r="110" spans="1:8">
      <c r="A110" s="67"/>
      <c r="B110" s="143">
        <v>0.79166666666666663</v>
      </c>
      <c r="C110" s="347">
        <v>3899</v>
      </c>
      <c r="D110" s="347">
        <v>2703.91</v>
      </c>
      <c r="E110" s="347">
        <v>107.61636111111112</v>
      </c>
      <c r="F110" s="347">
        <v>25.13</v>
      </c>
      <c r="G110" s="347">
        <v>37.301530555555559</v>
      </c>
      <c r="H110" s="348">
        <f>Table3B.5_27TTS_PA[[#This Row],[Total Delay: All Vehicles (hr)]]/Table3B.5_27TTS_PA[[#This Row],[Total Vehicles Traveling Within the Network]]</f>
        <v>9.5669480778547214E-3</v>
      </c>
    </row>
    <row r="111" spans="1:8">
      <c r="A111" s="67"/>
      <c r="B111" s="143">
        <v>0.83333333333333337</v>
      </c>
      <c r="C111" s="347">
        <v>2827</v>
      </c>
      <c r="D111" s="347">
        <v>1951.19</v>
      </c>
      <c r="E111" s="347">
        <v>74.908388888888894</v>
      </c>
      <c r="F111" s="347">
        <v>26.06</v>
      </c>
      <c r="G111" s="347">
        <v>24.220152777777777</v>
      </c>
      <c r="H111" s="348">
        <f>Table3B.5_27TTS_PA[[#This Row],[Total Delay: All Vehicles (hr)]]/Table3B.5_27TTS_PA[[#This Row],[Total Vehicles Traveling Within the Network]]</f>
        <v>8.5674399638407412E-3</v>
      </c>
    </row>
    <row r="112" spans="1:8">
      <c r="A112" s="67"/>
      <c r="B112" s="131" t="s">
        <v>26</v>
      </c>
      <c r="C112" s="153">
        <f>SUBTOTAL(109,Table3B.5_27TTS_PA[Total Vehicles Traveling Within the Network])</f>
        <v>59852</v>
      </c>
      <c r="D112" s="153">
        <f>SUBTOTAL(109,Table3B.5_27TTS_PA[VMT: Total Path Distance (mi)])</f>
        <v>41856.87000000001</v>
      </c>
      <c r="E112" s="153">
        <f>SUBTOTAL(109,Table3B.5_27TTS_PA[VHT: Total Time Within the Network (hr)])</f>
        <v>1646.5058055555553</v>
      </c>
      <c r="F112" s="153">
        <f>SUBTOTAL(101,Table3B.5_27TTS_PA[Average Speed (mph)])</f>
        <v>25.885333333333332</v>
      </c>
      <c r="G112" s="153">
        <f>SUBTOTAL(109,Table3B.5_27TTS_PA[Total Delay: All Vehicles (hr)])</f>
        <v>563.06367222222229</v>
      </c>
      <c r="H112" s="369">
        <f>SUBTOTAL(101,Table3B.5_27TTS_PA[Average Delay: Per Vehicle (hr/veh)])</f>
        <v>9.0332571877991992E-3</v>
      </c>
    </row>
    <row r="113" spans="1:8">
      <c r="A113" s="67"/>
    </row>
    <row r="114" spans="1:8" ht="13.5" customHeight="1">
      <c r="A114" s="67"/>
      <c r="B114" s="63" t="s">
        <v>199</v>
      </c>
    </row>
    <row r="115" spans="1:8">
      <c r="A115" s="67"/>
      <c r="B115" s="397"/>
      <c r="C115" s="397"/>
      <c r="D115" s="397"/>
      <c r="E115" s="397"/>
      <c r="F115" s="397"/>
      <c r="G115" s="397"/>
      <c r="H115" s="397"/>
    </row>
    <row r="116" spans="1:8" ht="25.5">
      <c r="A116" s="67"/>
      <c r="B116" s="123" t="s">
        <v>178</v>
      </c>
      <c r="C116" s="123" t="s">
        <v>186</v>
      </c>
      <c r="D116" s="84" t="s">
        <v>187</v>
      </c>
      <c r="E116" s="123" t="s">
        <v>188</v>
      </c>
      <c r="F116" s="123" t="s">
        <v>189</v>
      </c>
      <c r="G116" s="123" t="s">
        <v>190</v>
      </c>
      <c r="H116" s="123" t="s">
        <v>191</v>
      </c>
    </row>
    <row r="117" spans="1:8">
      <c r="A117" s="67"/>
      <c r="B117" s="143">
        <v>0.25</v>
      </c>
      <c r="C117" s="157">
        <v>0.9653846153846154</v>
      </c>
      <c r="D117" s="157">
        <v>3.4615384615384617E-2</v>
      </c>
      <c r="E117" s="267">
        <f>C97*Table3B.6_27Delay_PA[[#This Row],[Car Traffic Share]]</f>
        <v>1236.6576923076923</v>
      </c>
      <c r="F117" s="156">
        <f>H97*Table3B.6_27Delay_PA[[#This Row],[Car Traffic]]</f>
        <v>7.6163080662393163</v>
      </c>
      <c r="G117" s="155">
        <f>C97*Table3B.6_27Delay_PA[[#This Row],[Truck Traffic Share]]</f>
        <v>44.342307692307692</v>
      </c>
      <c r="H117" s="156">
        <f>H97*Table3B.6_27Delay_PA[[#This Row],[Truck Traffic]]</f>
        <v>0.27309471153846154</v>
      </c>
    </row>
    <row r="118" spans="1:8">
      <c r="A118" s="67"/>
      <c r="B118" s="143">
        <v>0.29166666666666702</v>
      </c>
      <c r="C118" s="157">
        <v>0.96461538461538465</v>
      </c>
      <c r="D118" s="157">
        <v>3.5384615384615382E-2</v>
      </c>
      <c r="E118" s="267">
        <f>C98*Table3B.6_27Delay_PA[[#This Row],[Car Traffic Share]]</f>
        <v>2897.7046153846154</v>
      </c>
      <c r="F118" s="156">
        <f>H98*Table3B.6_27Delay_PA[[#This Row],[Car Traffic]]</f>
        <v>21.853463358974363</v>
      </c>
      <c r="G118" s="155">
        <f>C98*Table3B.6_27Delay_PA[[#This Row],[Truck Traffic Share]]</f>
        <v>106.29538461538461</v>
      </c>
      <c r="H118" s="156">
        <f>H98*Table3B.6_27Delay_PA[[#This Row],[Truck Traffic]]</f>
        <v>0.80164219658119662</v>
      </c>
    </row>
    <row r="119" spans="1:8">
      <c r="A119" s="67"/>
      <c r="B119" s="143">
        <v>0.33333333333333298</v>
      </c>
      <c r="C119" s="157">
        <v>0.97201767304860087</v>
      </c>
      <c r="D119" s="157">
        <v>2.7982326951399118E-2</v>
      </c>
      <c r="E119" s="267">
        <f>C99*Table3B.6_27Delay_PA[[#This Row],[Car Traffic Share]]</f>
        <v>4717.2017673048604</v>
      </c>
      <c r="F119" s="156">
        <f>H99*Table3B.6_27Delay_PA[[#This Row],[Car Traffic]]</f>
        <v>44.723108247422687</v>
      </c>
      <c r="G119" s="155">
        <f>C99*Table3B.6_27Delay_PA[[#This Row],[Truck Traffic Share]]</f>
        <v>135.79823269513992</v>
      </c>
      <c r="H119" s="156">
        <f>H99*Table3B.6_27Delay_PA[[#This Row],[Truck Traffic]]</f>
        <v>1.2874834192439863</v>
      </c>
    </row>
    <row r="120" spans="1:8">
      <c r="A120" s="67"/>
      <c r="B120" s="143">
        <v>0.375</v>
      </c>
      <c r="C120" s="157">
        <v>0.9516483516483516</v>
      </c>
      <c r="D120" s="157">
        <v>4.8351648351648353E-2</v>
      </c>
      <c r="E120" s="267">
        <f>C100*Table3B.6_27Delay_PA[[#This Row],[Car Traffic Share]]</f>
        <v>4435.6329670329669</v>
      </c>
      <c r="F120" s="156">
        <f>H100*Table3B.6_27Delay_PA[[#This Row],[Car Traffic]]</f>
        <v>39.468700744810739</v>
      </c>
      <c r="G120" s="155">
        <f>C100*Table3B.6_27Delay_PA[[#This Row],[Truck Traffic Share]]</f>
        <v>225.36703296703297</v>
      </c>
      <c r="H120" s="156">
        <f>H100*Table3B.6_27Delay_PA[[#This Row],[Truck Traffic]]</f>
        <v>2.0053381440781441</v>
      </c>
    </row>
    <row r="121" spans="1:8">
      <c r="A121" s="67"/>
      <c r="B121" s="143">
        <v>0.41666666666666702</v>
      </c>
      <c r="C121" s="157">
        <v>0.98189134808853118</v>
      </c>
      <c r="D121" s="157">
        <v>1.8108651911468814E-2</v>
      </c>
      <c r="E121" s="267">
        <f>C101*Table3B.6_27Delay_PA[[#This Row],[Car Traffic Share]]</f>
        <v>3395.3802816901407</v>
      </c>
      <c r="F121" s="156">
        <f>H101*Table3B.6_27Delay_PA[[#This Row],[Car Traffic]]</f>
        <v>25.641893449586405</v>
      </c>
      <c r="G121" s="155">
        <f>C101*Table3B.6_27Delay_PA[[#This Row],[Truck Traffic Share]]</f>
        <v>62.619718309859159</v>
      </c>
      <c r="H121" s="156">
        <f>H101*Table3B.6_27Delay_PA[[#This Row],[Truck Traffic]]</f>
        <v>0.4729037726358149</v>
      </c>
    </row>
    <row r="122" spans="1:8">
      <c r="A122" s="67"/>
      <c r="B122" s="143">
        <v>0.45833333333333298</v>
      </c>
      <c r="C122" s="157">
        <v>0.97908745247148288</v>
      </c>
      <c r="D122" s="157">
        <v>2.0912547528517109E-2</v>
      </c>
      <c r="E122" s="267">
        <f>C102*Table3B.6_27Delay_PA[[#This Row],[Car Traffic Share]]</f>
        <v>3380.7889733840302</v>
      </c>
      <c r="F122" s="156">
        <f>H102*Table3B.6_27Delay_PA[[#This Row],[Car Traffic]]</f>
        <v>24.670167168356567</v>
      </c>
      <c r="G122" s="155">
        <f>C102*Table3B.6_27Delay_PA[[#This Row],[Truck Traffic Share]]</f>
        <v>72.211026615969573</v>
      </c>
      <c r="H122" s="156">
        <f>H102*Table3B.6_27Delay_PA[[#This Row],[Truck Traffic]]</f>
        <v>0.52693560942120821</v>
      </c>
    </row>
    <row r="123" spans="1:8">
      <c r="A123" s="67"/>
      <c r="B123" s="143">
        <v>0.5</v>
      </c>
      <c r="C123" s="157">
        <v>0.96397941680960553</v>
      </c>
      <c r="D123" s="157">
        <v>3.6020583190394515E-2</v>
      </c>
      <c r="E123" s="267">
        <f>C103*Table3B.6_27Delay_PA[[#This Row],[Car Traffic Share]]</f>
        <v>3444.2984562607207</v>
      </c>
      <c r="F123" s="156">
        <f>H103*Table3B.6_27Delay_PA[[#This Row],[Car Traffic]]</f>
        <v>26.409407709167144</v>
      </c>
      <c r="G123" s="155">
        <f>C103*Table3B.6_27Delay_PA[[#This Row],[Truck Traffic Share]]</f>
        <v>128.7015437392796</v>
      </c>
      <c r="H123" s="156">
        <f>H103*Table3B.6_27Delay_PA[[#This Row],[Truck Traffic]]</f>
        <v>0.98682840194396804</v>
      </c>
    </row>
    <row r="124" spans="1:8">
      <c r="A124" s="67"/>
      <c r="B124" s="143">
        <v>0.54166666666666696</v>
      </c>
      <c r="C124" s="157">
        <v>0.96923076923076923</v>
      </c>
      <c r="D124" s="157">
        <v>3.0769230769230771E-2</v>
      </c>
      <c r="E124" s="267">
        <f>C104*Table3B.6_27Delay_PA[[#This Row],[Car Traffic Share]]</f>
        <v>3661.7538461538461</v>
      </c>
      <c r="F124" s="156">
        <f>H104*Table3B.6_27Delay_PA[[#This Row],[Car Traffic]]</f>
        <v>33.345843461538465</v>
      </c>
      <c r="G124" s="155">
        <f>C104*Table3B.6_27Delay_PA[[#This Row],[Truck Traffic Share]]</f>
        <v>116.24615384615386</v>
      </c>
      <c r="H124" s="156">
        <f>H104*Table3B.6_27Delay_PA[[#This Row],[Truck Traffic]]</f>
        <v>1.0585982051282052</v>
      </c>
    </row>
    <row r="125" spans="1:8">
      <c r="A125" s="67"/>
      <c r="B125" s="143">
        <v>0.58333333333333304</v>
      </c>
      <c r="C125" s="157">
        <v>0.98150289017341041</v>
      </c>
      <c r="D125" s="157">
        <v>1.8497109826589597E-2</v>
      </c>
      <c r="E125" s="267">
        <f>C105*Table3B.6_27Delay_PA[[#This Row],[Car Traffic Share]]</f>
        <v>4108.5710982658957</v>
      </c>
      <c r="F125" s="156">
        <f>H105*Table3B.6_27Delay_PA[[#This Row],[Car Traffic]]</f>
        <v>39.603063622350675</v>
      </c>
      <c r="G125" s="155">
        <f>C105*Table3B.6_27Delay_PA[[#This Row],[Truck Traffic Share]]</f>
        <v>77.428901734104045</v>
      </c>
      <c r="H125" s="156">
        <f>H105*Table3B.6_27Delay_PA[[#This Row],[Truck Traffic]]</f>
        <v>0.74634748876043677</v>
      </c>
    </row>
    <row r="126" spans="1:8">
      <c r="A126" s="67"/>
      <c r="B126" s="143">
        <v>0.625</v>
      </c>
      <c r="C126" s="157">
        <v>0.9779874213836478</v>
      </c>
      <c r="D126" s="157">
        <v>2.20125786163522E-2</v>
      </c>
      <c r="E126" s="267">
        <f>C106*Table3B.6_27Delay_PA[[#This Row],[Car Traffic Share]]</f>
        <v>4743.2389937106918</v>
      </c>
      <c r="F126" s="156">
        <f>H106*Table3B.6_27Delay_PA[[#This Row],[Car Traffic]]</f>
        <v>50.042665531097136</v>
      </c>
      <c r="G126" s="155">
        <f>C106*Table3B.6_27Delay_PA[[#This Row],[Truck Traffic Share]]</f>
        <v>106.76100628930817</v>
      </c>
      <c r="H126" s="156">
        <f>H106*Table3B.6_27Delay_PA[[#This Row],[Truck Traffic]]</f>
        <v>1.1263622466806429</v>
      </c>
    </row>
    <row r="127" spans="1:8">
      <c r="A127" s="67"/>
      <c r="B127" s="143">
        <v>0.66666666666666696</v>
      </c>
      <c r="C127" s="157">
        <v>0.99905660377358485</v>
      </c>
      <c r="D127" s="157">
        <v>9.4339622641509435E-4</v>
      </c>
      <c r="E127" s="267">
        <f>C107*Table3B.6_27Delay_PA[[#This Row],[Car Traffic Share]]</f>
        <v>5359.9386792452824</v>
      </c>
      <c r="F127" s="156">
        <f>H107*Table3B.6_27Delay_PA[[#This Row],[Car Traffic]]</f>
        <v>59.645985400943388</v>
      </c>
      <c r="G127" s="155">
        <f>C107*Table3B.6_27Delay_PA[[#This Row],[Truck Traffic Share]]</f>
        <v>5.0613207547169807</v>
      </c>
      <c r="H127" s="156">
        <f>H107*Table3B.6_27Delay_PA[[#This Row],[Truck Traffic]]</f>
        <v>5.6322932389937103E-2</v>
      </c>
    </row>
    <row r="128" spans="1:8">
      <c r="A128" s="67"/>
      <c r="B128" s="143">
        <v>0.70833333333333304</v>
      </c>
      <c r="C128" s="157">
        <v>0.99099999999999999</v>
      </c>
      <c r="D128" s="157">
        <v>8.9999999999999993E-3</v>
      </c>
      <c r="E128" s="267">
        <f>C108*Table3B.6_27Delay_PA[[#This Row],[Car Traffic Share]]</f>
        <v>5447.527</v>
      </c>
      <c r="F128" s="156">
        <f>H108*Table3B.6_27Delay_PA[[#This Row],[Car Traffic]]</f>
        <v>61.518370313888887</v>
      </c>
      <c r="G128" s="155">
        <f>C108*Table3B.6_27Delay_PA[[#This Row],[Truck Traffic Share]]</f>
        <v>49.472999999999999</v>
      </c>
      <c r="H128" s="156">
        <f>H108*Table3B.6_27Delay_PA[[#This Row],[Truck Traffic]]</f>
        <v>0.55869357499999994</v>
      </c>
    </row>
    <row r="129" spans="1:8">
      <c r="A129" s="67"/>
      <c r="B129" s="143">
        <v>0.75</v>
      </c>
      <c r="C129" s="157">
        <v>0.99242424242424243</v>
      </c>
      <c r="D129" s="157">
        <v>7.575757575757576E-3</v>
      </c>
      <c r="E129" s="267">
        <f>C109*Table3B.6_27Delay_PA[[#This Row],[Car Traffic Share]]</f>
        <v>5127.856060606061</v>
      </c>
      <c r="F129" s="156">
        <f>H109*Table3B.6_27Delay_PA[[#This Row],[Car Traffic]]</f>
        <v>56.669866708754206</v>
      </c>
      <c r="G129" s="155">
        <f>C109*Table3B.6_27Delay_PA[[#This Row],[Truck Traffic Share]]</f>
        <v>39.143939393939398</v>
      </c>
      <c r="H129" s="156">
        <f>H109*Table3B.6_27Delay_PA[[#This Row],[Truck Traffic]]</f>
        <v>0.43259440235690233</v>
      </c>
    </row>
    <row r="130" spans="1:8">
      <c r="A130" s="67"/>
      <c r="B130" s="143">
        <v>0.79166666666666663</v>
      </c>
      <c r="C130" s="157">
        <v>0.98581560283687941</v>
      </c>
      <c r="D130" s="157">
        <v>1.4184397163120567E-2</v>
      </c>
      <c r="E130" s="267">
        <f>C110*Table3B.6_27Delay_PA[[#This Row],[Car Traffic Share]]</f>
        <v>3843.695035460993</v>
      </c>
      <c r="F130" s="156">
        <f>H110*Table3B.6_27Delay_PA[[#This Row],[Car Traffic]]</f>
        <v>36.77243083136328</v>
      </c>
      <c r="G130" s="155">
        <f>C110*Table3B.6_27Delay_PA[[#This Row],[Truck Traffic Share]]</f>
        <v>55.304964539007088</v>
      </c>
      <c r="H130" s="156">
        <f>H110*Table3B.6_27Delay_PA[[#This Row],[Truck Traffic]]</f>
        <v>0.52909972419227735</v>
      </c>
    </row>
    <row r="131" spans="1:8" ht="13.5" thickBot="1">
      <c r="B131" s="143">
        <v>0.83333333333333337</v>
      </c>
      <c r="C131" s="159">
        <v>1</v>
      </c>
      <c r="D131" s="159">
        <v>0</v>
      </c>
      <c r="E131" s="268">
        <f>C111*Table3B.6_27Delay_PA[[#This Row],[Car Traffic Share]]</f>
        <v>2827</v>
      </c>
      <c r="F131" s="161">
        <f>H111*Table3B.6_27Delay_PA[[#This Row],[Car Traffic]]</f>
        <v>24.220152777777777</v>
      </c>
      <c r="G131" s="160">
        <f>C111*Table3B.6_27Delay_PA[[#This Row],[Truck Traffic Share]]</f>
        <v>0</v>
      </c>
      <c r="H131" s="161">
        <f>H111*Table3B.6_27Delay_PA[[#This Row],[Truck Traffic]]</f>
        <v>0</v>
      </c>
    </row>
    <row r="132" spans="1:8" s="76" customFormat="1" ht="13.5" thickTop="1">
      <c r="B132" s="167" t="s">
        <v>26</v>
      </c>
      <c r="C132" s="128"/>
      <c r="D132" s="128"/>
      <c r="E132" s="168">
        <f>SUBTOTAL(109,Table3B.6_27Delay_PA[Car Traffic])</f>
        <v>58627.245466807806</v>
      </c>
      <c r="F132" s="168">
        <f>SUBTOTAL(109,Table3B.6_27Delay_PA[Car Delay 
(hrs)])</f>
        <v>552.20142739227106</v>
      </c>
      <c r="G132" s="168">
        <f>SUBTOTAL(109,Table3B.6_27Delay_PA[Truck Traffic])</f>
        <v>1224.7545331922031</v>
      </c>
      <c r="H132" s="168">
        <f>SUBTOTAL(109,Table3B.6_27Delay_PA[Truck Delay (hrs)])</f>
        <v>10.86224482995118</v>
      </c>
    </row>
    <row r="134" spans="1:8">
      <c r="B134" s="63" t="s">
        <v>200</v>
      </c>
    </row>
    <row r="135" spans="1:8">
      <c r="B135" s="397"/>
      <c r="C135" s="397"/>
      <c r="D135" s="397"/>
      <c r="E135" s="397"/>
      <c r="F135" s="397"/>
      <c r="G135" s="397"/>
      <c r="H135" s="397"/>
    </row>
    <row r="136" spans="1:8" ht="25.5">
      <c r="B136" s="123" t="s">
        <v>178</v>
      </c>
      <c r="C136" s="123" t="s">
        <v>201</v>
      </c>
      <c r="D136" s="84" t="s">
        <v>202</v>
      </c>
      <c r="E136" s="123" t="s">
        <v>203</v>
      </c>
      <c r="F136" s="123" t="s">
        <v>204</v>
      </c>
      <c r="G136" s="123" t="s">
        <v>205</v>
      </c>
      <c r="H136" s="123" t="s">
        <v>206</v>
      </c>
    </row>
    <row r="137" spans="1:8">
      <c r="B137" s="143">
        <v>0.25</v>
      </c>
      <c r="C137" s="158">
        <f t="shared" ref="C137:C151" si="0">F77-F117</f>
        <v>-5.1917285149572656</v>
      </c>
      <c r="D137" s="158">
        <f t="shared" ref="D137:D151" si="1">H77-H117</f>
        <v>-0.18615759615384617</v>
      </c>
      <c r="E137" s="163">
        <f>Table3B.7_27Money[[#This Row],[Car Delay Savings (hrs)]]*All_Purpose_Travel*Passenger_Vehicles_Occupancy</f>
        <v>-162.99950845559832</v>
      </c>
      <c r="F137" s="163">
        <f>Table3B.7_27Money[[#This Row],[Truck Delay Savings (hrs)]]*Truck_Travel</f>
        <v>-6.0315061153846159</v>
      </c>
      <c r="G137" s="163">
        <f>(Table3B.7_27Money[[#This Row],[Truck Savings Benefits (Daily)]]+Table3B.7_27Money[[#This Row],[Car Savings Benefits (Daily)]])*270</f>
        <v>-45638.373934165393</v>
      </c>
      <c r="H137" s="163">
        <f>(Table3B.7_27Money[[#This Row],[Car Savings Benefits (Daily)]]+Table3B.7_27Money[[#This Row],[Truck Savings Benefits (Daily)]])*365</f>
        <v>-61696.320318408769</v>
      </c>
    </row>
    <row r="138" spans="1:8">
      <c r="B138" s="143">
        <v>0.29166666666666702</v>
      </c>
      <c r="C138" s="158">
        <f t="shared" si="0"/>
        <v>6.8233757307692251</v>
      </c>
      <c r="D138" s="158">
        <f t="shared" si="1"/>
        <v>0.25029926923076906</v>
      </c>
      <c r="E138" s="163">
        <f>Table3B.7_27Money[[#This Row],[Car Delay Savings (hrs)]]*All_Purpose_Travel*Passenger_Vehicles_Occupancy</f>
        <v>214.22670444323057</v>
      </c>
      <c r="F138" s="163">
        <f>Table3B.7_27Money[[#This Row],[Truck Delay Savings (hrs)]]*Truck_Travel</f>
        <v>8.1096963230769177</v>
      </c>
      <c r="G138" s="163">
        <f>(Table3B.7_27Money[[#This Row],[Truck Savings Benefits (Daily)]]+Table3B.7_27Money[[#This Row],[Car Savings Benefits (Daily)]])*270</f>
        <v>60030.828206903025</v>
      </c>
      <c r="H138" s="163">
        <f>(Table3B.7_27Money[[#This Row],[Car Savings Benefits (Daily)]]+Table3B.7_27Money[[#This Row],[Truck Savings Benefits (Daily)]])*365</f>
        <v>81152.786279702239</v>
      </c>
    </row>
    <row r="139" spans="1:8">
      <c r="B139" s="143">
        <v>0.33333333333333298</v>
      </c>
      <c r="C139" s="158">
        <f t="shared" si="0"/>
        <v>-35.37509278350516</v>
      </c>
      <c r="D139" s="158">
        <f t="shared" si="1"/>
        <v>-1.0183738831615121</v>
      </c>
      <c r="E139" s="163">
        <f>Table3B.7_27Money[[#This Row],[Car Delay Savings (hrs)]]*All_Purpose_Travel*Passenger_Vehicles_Occupancy</f>
        <v>-1110.636413030928</v>
      </c>
      <c r="F139" s="163">
        <f>Table3B.7_27Money[[#This Row],[Truck Delay Savings (hrs)]]*Truck_Travel</f>
        <v>-32.99531381443299</v>
      </c>
      <c r="G139" s="163">
        <f>(Table3B.7_27Money[[#This Row],[Truck Savings Benefits (Daily)]]+Table3B.7_27Money[[#This Row],[Car Savings Benefits (Daily)]])*270</f>
        <v>-308780.56624824752</v>
      </c>
      <c r="H139" s="163">
        <f>(Table3B.7_27Money[[#This Row],[Car Savings Benefits (Daily)]]+Table3B.7_27Money[[#This Row],[Truck Savings Benefits (Daily)]])*365</f>
        <v>-417425.58029855677</v>
      </c>
    </row>
    <row r="140" spans="1:8">
      <c r="B140" s="143">
        <v>0.375</v>
      </c>
      <c r="C140" s="158">
        <f t="shared" si="0"/>
        <v>-17.307869126984123</v>
      </c>
      <c r="D140" s="158">
        <f t="shared" si="1"/>
        <v>-0.87938365079365077</v>
      </c>
      <c r="E140" s="163">
        <f>Table3B.7_27Money[[#This Row],[Car Delay Savings (hrs)]]*All_Purpose_Travel*Passenger_Vehicles_Occupancy</f>
        <v>-543.39785911079343</v>
      </c>
      <c r="F140" s="163">
        <f>Table3B.7_27Money[[#This Row],[Truck Delay Savings (hrs)]]*Truck_Travel</f>
        <v>-28.492030285714282</v>
      </c>
      <c r="G140" s="163">
        <f>(Table3B.7_27Money[[#This Row],[Truck Savings Benefits (Daily)]]+Table3B.7_27Money[[#This Row],[Car Savings Benefits (Daily)]])*270</f>
        <v>-154410.27013705706</v>
      </c>
      <c r="H140" s="163">
        <f>(Table3B.7_27Money[[#This Row],[Car Savings Benefits (Daily)]]+Table3B.7_27Money[[#This Row],[Truck Savings Benefits (Daily)]])*365</f>
        <v>-208739.80962972529</v>
      </c>
    </row>
    <row r="141" spans="1:8">
      <c r="B141" s="143">
        <v>0.41666666666666702</v>
      </c>
      <c r="C141" s="158">
        <f t="shared" si="0"/>
        <v>-14.812597406662194</v>
      </c>
      <c r="D141" s="158">
        <f t="shared" si="1"/>
        <v>-0.27318314889336015</v>
      </c>
      <c r="E141" s="163">
        <f>Table3B.7_27Money[[#This Row],[Car Delay Savings (hrs)]]*All_Purpose_Travel*Passenger_Vehicles_Occupancy</f>
        <v>-465.0563081795662</v>
      </c>
      <c r="F141" s="163">
        <f>Table3B.7_27Money[[#This Row],[Truck Delay Savings (hrs)]]*Truck_Travel</f>
        <v>-8.8511340241448693</v>
      </c>
      <c r="G141" s="163">
        <f>(Table3B.7_27Money[[#This Row],[Truck Savings Benefits (Daily)]]+Table3B.7_27Money[[#This Row],[Car Savings Benefits (Daily)]])*270</f>
        <v>-127955.00939500199</v>
      </c>
      <c r="H141" s="163">
        <f>(Table3B.7_27Money[[#This Row],[Car Savings Benefits (Daily)]]+Table3B.7_27Money[[#This Row],[Truck Savings Benefits (Daily)]])*365</f>
        <v>-172976.21640435455</v>
      </c>
    </row>
    <row r="142" spans="1:8">
      <c r="B142" s="143">
        <v>0.45833333333333298</v>
      </c>
      <c r="C142" s="158">
        <f t="shared" si="0"/>
        <v>-14.205321477608784</v>
      </c>
      <c r="D142" s="158">
        <f t="shared" si="1"/>
        <v>-0.30341463350232356</v>
      </c>
      <c r="E142" s="163">
        <f>Table3B.7_27Money[[#This Row],[Car Delay Savings (hrs)]]*All_Purpose_Travel*Passenger_Vehicles_Occupancy</f>
        <v>-445.99027311100537</v>
      </c>
      <c r="F142" s="163">
        <f>Table3B.7_27Money[[#This Row],[Truck Delay Savings (hrs)]]*Truck_Travel</f>
        <v>-9.8306341254752834</v>
      </c>
      <c r="G142" s="163">
        <f>(Table3B.7_27Money[[#This Row],[Truck Savings Benefits (Daily)]]+Table3B.7_27Money[[#This Row],[Car Savings Benefits (Daily)]])*270</f>
        <v>-123071.64495384977</v>
      </c>
      <c r="H142" s="163">
        <f>(Table3B.7_27Money[[#This Row],[Car Savings Benefits (Daily)]]+Table3B.7_27Money[[#This Row],[Truck Savings Benefits (Daily)]])*365</f>
        <v>-166374.63114131545</v>
      </c>
    </row>
    <row r="143" spans="1:8">
      <c r="B143" s="143">
        <v>0.5</v>
      </c>
      <c r="C143" s="158">
        <f t="shared" si="0"/>
        <v>-14.54904678864113</v>
      </c>
      <c r="D143" s="158">
        <f t="shared" si="1"/>
        <v>-0.54364765580331631</v>
      </c>
      <c r="E143" s="163">
        <f>Table3B.7_27Money[[#This Row],[Car Delay Savings (hrs)]]*All_Purpose_Travel*Passenger_Vehicles_Occupancy</f>
        <v>-456.78187297617694</v>
      </c>
      <c r="F143" s="163">
        <f>Table3B.7_27Money[[#This Row],[Truck Delay Savings (hrs)]]*Truck_Travel</f>
        <v>-17.614184048027447</v>
      </c>
      <c r="G143" s="163">
        <f>(Table3B.7_27Money[[#This Row],[Truck Savings Benefits (Daily)]]+Table3B.7_27Money[[#This Row],[Car Savings Benefits (Daily)]])*270</f>
        <v>-128086.93539653518</v>
      </c>
      <c r="H143" s="163">
        <f>(Table3B.7_27Money[[#This Row],[Car Savings Benefits (Daily)]]+Table3B.7_27Money[[#This Row],[Truck Savings Benefits (Daily)]])*365</f>
        <v>-173154.5608138346</v>
      </c>
    </row>
    <row r="144" spans="1:8">
      <c r="B144" s="143">
        <v>0.54166666666666696</v>
      </c>
      <c r="C144" s="158">
        <f t="shared" si="0"/>
        <v>-18.762487692307694</v>
      </c>
      <c r="D144" s="158">
        <f t="shared" si="1"/>
        <v>-0.59563452991453003</v>
      </c>
      <c r="E144" s="163">
        <f>Table3B.7_27Money[[#This Row],[Car Delay Savings (hrs)]]*All_Purpose_Travel*Passenger_Vehicles_Occupancy</f>
        <v>-589.06706358769236</v>
      </c>
      <c r="F144" s="163">
        <f>Table3B.7_27Money[[#This Row],[Truck Delay Savings (hrs)]]*Truck_Travel</f>
        <v>-19.298558769230773</v>
      </c>
      <c r="G144" s="163">
        <f>(Table3B.7_27Money[[#This Row],[Truck Savings Benefits (Daily)]]+Table3B.7_27Money[[#This Row],[Car Savings Benefits (Daily)]])*270</f>
        <v>-164258.71803636925</v>
      </c>
      <c r="H144" s="163">
        <f>(Table3B.7_27Money[[#This Row],[Car Savings Benefits (Daily)]]+Table3B.7_27Money[[#This Row],[Truck Savings Benefits (Daily)]])*365</f>
        <v>-222053.45216027694</v>
      </c>
    </row>
    <row r="145" spans="2:8">
      <c r="B145" s="143">
        <v>0.58333333333333304</v>
      </c>
      <c r="C145" s="158">
        <f t="shared" si="0"/>
        <v>-21.951317591522159</v>
      </c>
      <c r="D145" s="158">
        <f t="shared" si="1"/>
        <v>-0.41368796403339764</v>
      </c>
      <c r="E145" s="163">
        <f>Table3B.7_27Money[[#This Row],[Car Delay Savings (hrs)]]*All_Purpose_Travel*Passenger_Vehicles_Occupancy</f>
        <v>-689.18356710342971</v>
      </c>
      <c r="F145" s="163">
        <f>Table3B.7_27Money[[#This Row],[Truck Delay Savings (hrs)]]*Truck_Travel</f>
        <v>-13.403490034682083</v>
      </c>
      <c r="G145" s="163">
        <f>(Table3B.7_27Money[[#This Row],[Truck Savings Benefits (Daily)]]+Table3B.7_27Money[[#This Row],[Car Savings Benefits (Daily)]])*270</f>
        <v>-189698.50542729019</v>
      </c>
      <c r="H145" s="163">
        <f>(Table3B.7_27Money[[#This Row],[Car Savings Benefits (Daily)]]+Table3B.7_27Money[[#This Row],[Truck Savings Benefits (Daily)]])*365</f>
        <v>-256444.27585541081</v>
      </c>
    </row>
    <row r="146" spans="2:8">
      <c r="B146" s="143">
        <v>0.625</v>
      </c>
      <c r="C146" s="158">
        <f t="shared" si="0"/>
        <v>-24.970105241090145</v>
      </c>
      <c r="D146" s="158">
        <f t="shared" si="1"/>
        <v>-0.56202809224318662</v>
      </c>
      <c r="E146" s="163">
        <f>Table3B.7_27Money[[#This Row],[Car Delay Savings (hrs)]]*All_Purpose_Travel*Passenger_Vehicles_Occupancy</f>
        <v>-783.96142414926624</v>
      </c>
      <c r="F146" s="163">
        <f>Table3B.7_27Money[[#This Row],[Truck Delay Savings (hrs)]]*Truck_Travel</f>
        <v>-18.209710188679246</v>
      </c>
      <c r="G146" s="163">
        <f>(Table3B.7_27Money[[#This Row],[Truck Savings Benefits (Daily)]]+Table3B.7_27Money[[#This Row],[Car Savings Benefits (Daily)]])*270</f>
        <v>-216586.20627124526</v>
      </c>
      <c r="H146" s="163">
        <f>(Table3B.7_27Money[[#This Row],[Car Savings Benefits (Daily)]]+Table3B.7_27Money[[#This Row],[Truck Savings Benefits (Daily)]])*365</f>
        <v>-292792.46403335006</v>
      </c>
    </row>
    <row r="147" spans="2:8">
      <c r="B147" s="143">
        <v>0.66666666666666696</v>
      </c>
      <c r="C147" s="158">
        <f t="shared" si="0"/>
        <v>-16.814849732704396</v>
      </c>
      <c r="D147" s="158">
        <f t="shared" si="1"/>
        <v>-1.5878045073375265E-2</v>
      </c>
      <c r="E147" s="163">
        <f>Table3B.7_27Money[[#This Row],[Car Delay Savings (hrs)]]*All_Purpose_Travel*Passenger_Vehicles_Occupancy</f>
        <v>-527.91902220798715</v>
      </c>
      <c r="F147" s="163">
        <f>Table3B.7_27Money[[#This Row],[Truck Delay Savings (hrs)]]*Truck_Travel</f>
        <v>-0.51444866037735859</v>
      </c>
      <c r="G147" s="163">
        <f>(Table3B.7_27Money[[#This Row],[Truck Savings Benefits (Daily)]]+Table3B.7_27Money[[#This Row],[Car Savings Benefits (Daily)]])*270</f>
        <v>-142677.03713445843</v>
      </c>
      <c r="H147" s="163">
        <f>(Table3B.7_27Money[[#This Row],[Car Savings Benefits (Daily)]]+Table3B.7_27Money[[#This Row],[Truck Savings Benefits (Daily)]])*365</f>
        <v>-192878.21686695307</v>
      </c>
    </row>
    <row r="148" spans="2:8">
      <c r="B148" s="143">
        <v>0.70833333333333304</v>
      </c>
      <c r="C148" s="158">
        <f t="shared" si="0"/>
        <v>23.334311727777767</v>
      </c>
      <c r="D148" s="158">
        <f t="shared" si="1"/>
        <v>0.21191604999999991</v>
      </c>
      <c r="E148" s="163">
        <f>Table3B.7_27Money[[#This Row],[Car Delay Savings (hrs)]]*All_Purpose_Travel*Passenger_Vehicles_Occupancy</f>
        <v>732.60405100531068</v>
      </c>
      <c r="F148" s="163">
        <f>Table3B.7_27Money[[#This Row],[Truck Delay Savings (hrs)]]*Truck_Travel</f>
        <v>6.8660800199999965</v>
      </c>
      <c r="G148" s="163">
        <f>(Table3B.7_27Money[[#This Row],[Truck Savings Benefits (Daily)]]+Table3B.7_27Money[[#This Row],[Car Savings Benefits (Daily)]])*270</f>
        <v>199656.93537683389</v>
      </c>
      <c r="H148" s="163">
        <f>(Table3B.7_27Money[[#This Row],[Car Savings Benefits (Daily)]]+Table3B.7_27Money[[#This Row],[Truck Savings Benefits (Daily)]])*365</f>
        <v>269906.59782423842</v>
      </c>
    </row>
    <row r="149" spans="2:8">
      <c r="B149" s="143">
        <v>0.75</v>
      </c>
      <c r="C149" s="158">
        <f t="shared" si="0"/>
        <v>48.150577230639719</v>
      </c>
      <c r="D149" s="158">
        <f t="shared" si="1"/>
        <v>0.36756165824915815</v>
      </c>
      <c r="E149" s="163">
        <f>Table3B.7_27Money[[#This Row],[Car Delay Savings (hrs)]]*All_Purpose_Travel*Passenger_Vehicles_Occupancy</f>
        <v>1511.7355227331645</v>
      </c>
      <c r="F149" s="163">
        <f>Table3B.7_27Money[[#This Row],[Truck Delay Savings (hrs)]]*Truck_Travel</f>
        <v>11.908997727272723</v>
      </c>
      <c r="G149" s="163">
        <f>(Table3B.7_27Money[[#This Row],[Truck Savings Benefits (Daily)]]+Table3B.7_27Money[[#This Row],[Car Savings Benefits (Daily)]])*270</f>
        <v>411384.02052431804</v>
      </c>
      <c r="H149" s="163">
        <f>(Table3B.7_27Money[[#This Row],[Car Savings Benefits (Daily)]]+Table3B.7_27Money[[#This Row],[Truck Savings Benefits (Daily)]])*365</f>
        <v>556130.24996805959</v>
      </c>
    </row>
    <row r="150" spans="2:8">
      <c r="B150" s="143">
        <v>0.79166666666666663</v>
      </c>
      <c r="C150" s="158">
        <f t="shared" si="0"/>
        <v>-13.98725289598109</v>
      </c>
      <c r="D150" s="158">
        <f t="shared" si="1"/>
        <v>-0.20125543735224583</v>
      </c>
      <c r="E150" s="163">
        <f>Table3B.7_27Money[[#This Row],[Car Delay Savings (hrs)]]*All_Purpose_Travel*Passenger_Vehicles_Occupancy</f>
        <v>-439.14379192222225</v>
      </c>
      <c r="F150" s="163">
        <f>Table3B.7_27Money[[#This Row],[Truck Delay Savings (hrs)]]*Truck_Travel</f>
        <v>-6.5206761702127647</v>
      </c>
      <c r="G150" s="163">
        <f>(Table3B.7_27Money[[#This Row],[Truck Savings Benefits (Daily)]]+Table3B.7_27Money[[#This Row],[Car Savings Benefits (Daily)]])*270</f>
        <v>-120329.40638495746</v>
      </c>
      <c r="H150" s="163">
        <f>(Table3B.7_27Money[[#This Row],[Car Savings Benefits (Daily)]]+Table3B.7_27Money[[#This Row],[Truck Savings Benefits (Daily)]])*365</f>
        <v>-162667.53085373878</v>
      </c>
    </row>
    <row r="151" spans="2:8" ht="13.5" thickBot="1">
      <c r="B151" s="143">
        <v>0.83333333333333337</v>
      </c>
      <c r="C151" s="162">
        <f t="shared" si="0"/>
        <v>-15.100724999999999</v>
      </c>
      <c r="D151" s="162">
        <f t="shared" si="1"/>
        <v>0</v>
      </c>
      <c r="E151" s="164">
        <f>Table3B.7_27Money[[#This Row],[Car Delay Savings (hrs)]]*All_Purpose_Travel*Passenger_Vehicles_Occupancy</f>
        <v>-474.10236209999994</v>
      </c>
      <c r="F151" s="164">
        <f>Table3B.7_27Money[[#This Row],[Truck Delay Savings (hrs)]]*Truck_Travel</f>
        <v>0</v>
      </c>
      <c r="G151" s="164">
        <f>(Table3B.7_27Money[[#This Row],[Truck Savings Benefits (Daily)]]+Table3B.7_27Money[[#This Row],[Car Savings Benefits (Daily)]])*270</f>
        <v>-128007.63776699998</v>
      </c>
      <c r="H151" s="164">
        <f>(Table3B.7_27Money[[#This Row],[Car Savings Benefits (Daily)]]+Table3B.7_27Money[[#This Row],[Truck Savings Benefits (Daily)]])*365</f>
        <v>-173047.36216649998</v>
      </c>
    </row>
    <row r="152" spans="2:8" ht="13.5" thickTop="1">
      <c r="B152" s="90" t="s">
        <v>26</v>
      </c>
      <c r="C152" s="81"/>
      <c r="D152" s="81"/>
      <c r="E152" s="127">
        <f>SUBTOTAL(109,Table3B.7_27Money[Car Savings Benefits (Daily)])</f>
        <v>-4229.6731877529601</v>
      </c>
      <c r="F152" s="127">
        <f>SUBTOTAL(109,Table3B.7_27Money[Truck Savings Benefits (Daily)])</f>
        <v>-134.87691216601206</v>
      </c>
      <c r="G152" s="127">
        <f>SUBTOTAL(109,Table3B.7_27Money[Total Benefits, Low (270 Days)])</f>
        <v>-1178428.5269781223</v>
      </c>
      <c r="H152" s="127">
        <f>SUBTOTAL(109,Table3B.7_27Money[Total Benefits, High (365 Days)])</f>
        <v>-1593060.7864704248</v>
      </c>
    </row>
  </sheetData>
  <mergeCells count="12">
    <mergeCell ref="B135:H135"/>
    <mergeCell ref="A1:I1"/>
    <mergeCell ref="B35:H35"/>
    <mergeCell ref="B75:H75"/>
    <mergeCell ref="B115:H115"/>
    <mergeCell ref="B55:H55"/>
    <mergeCell ref="B95:H95"/>
    <mergeCell ref="B8:I8"/>
    <mergeCell ref="B9:I9"/>
    <mergeCell ref="B10:I10"/>
    <mergeCell ref="B11:I11"/>
    <mergeCell ref="B12:I12"/>
  </mergeCells>
  <phoneticPr fontId="25" type="noConversion"/>
  <pageMargins left="0.7" right="0.7" top="0.75" bottom="0.75" header="0.3" footer="0.3"/>
  <pageSetup scale="61" fitToHeight="3" orientation="portrait" r:id="rId1"/>
  <rowBreaks count="2" manualBreakCount="2">
    <brk id="53" max="8" man="1"/>
    <brk id="113" max="8" man="1"/>
  </rowBreaks>
  <drawing r:id="rId2"/>
  <tableParts count="7">
    <tablePart r:id="rId3"/>
    <tablePart r:id="rId4"/>
    <tablePart r:id="rId5"/>
    <tablePart r:id="rId6"/>
    <tablePart r:id="rId7"/>
    <tablePart r:id="rId8"/>
    <tablePart r:id="rId9"/>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65EDB4FB5360842A2C5EBE15A5428DA" ma:contentTypeVersion="4" ma:contentTypeDescription="Create a new document." ma:contentTypeScope="" ma:versionID="fe79405357fadd2d5f8457ef6d09ec74">
  <xsd:schema xmlns:xsd="http://www.w3.org/2001/XMLSchema" xmlns:xs="http://www.w3.org/2001/XMLSchema" xmlns:p="http://schemas.microsoft.com/office/2006/metadata/properties" xmlns:ns2="51d9aacf-fdcd-4d26-a39c-40ec42085601" xmlns:ns3="a148aac6-9fb2-4c01-ac18-40723a37893a" targetNamespace="http://schemas.microsoft.com/office/2006/metadata/properties" ma:root="true" ma:fieldsID="587ff2743fb129c0d77c7a63929b6b1f" ns2:_="" ns3:_="">
    <xsd:import namespace="51d9aacf-fdcd-4d26-a39c-40ec42085601"/>
    <xsd:import namespace="a148aac6-9fb2-4c01-ac18-40723a37893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d9aacf-fdcd-4d26-a39c-40ec4208560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148aac6-9fb2-4c01-ac18-40723a37893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E4A338E-4B29-4E0D-91E4-129CE68330E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1d9aacf-fdcd-4d26-a39c-40ec42085601"/>
    <ds:schemaRef ds:uri="a148aac6-9fb2-4c01-ac18-40723a37893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4717E43-9436-4857-AE9F-4D45F4338534}">
  <ds:schemaRefs>
    <ds:schemaRef ds:uri="http://schemas.microsoft.com/office/2006/documentManagement/types"/>
    <ds:schemaRef ds:uri="http://schemas.microsoft.com/office/2006/metadata/properties"/>
    <ds:schemaRef ds:uri="51d9aacf-fdcd-4d26-a39c-40ec42085601"/>
    <ds:schemaRef ds:uri="http://purl.org/dc/terms/"/>
    <ds:schemaRef ds:uri="a148aac6-9fb2-4c01-ac18-40723a37893a"/>
    <ds:schemaRef ds:uri="http://schemas.openxmlformats.org/package/2006/metadata/core-properties"/>
    <ds:schemaRef ds:uri="http://purl.org/dc/dcmitype/"/>
    <ds:schemaRef ds:uri="http://purl.org/dc/elements/1.1/"/>
    <ds:schemaRef ds:uri="http://schemas.microsoft.com/office/infopath/2007/PartnerControls"/>
    <ds:schemaRef ds:uri="http://www.w3.org/XML/1998/namespace"/>
  </ds:schemaRefs>
</ds:datastoreItem>
</file>

<file path=customXml/itemProps3.xml><?xml version="1.0" encoding="utf-8"?>
<ds:datastoreItem xmlns:ds="http://schemas.openxmlformats.org/officeDocument/2006/customXml" ds:itemID="{834DD1B1-E383-40CC-BA21-5756D82B7C3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230</vt:i4>
      </vt:variant>
    </vt:vector>
  </HeadingPairs>
  <TitlesOfParts>
    <vt:vector size="259" baseType="lpstr">
      <vt:lpstr>ES-1. Executive Summary</vt:lpstr>
      <vt:lpstr>ES-2. B&amp;C Summary Backup</vt:lpstr>
      <vt:lpstr>Freight Rating</vt:lpstr>
      <vt:lpstr>1. Safety Benefits</vt:lpstr>
      <vt:lpstr>1B. Safety Backup</vt:lpstr>
      <vt:lpstr>2. Emissions Benefits</vt:lpstr>
      <vt:lpstr>2B. Emissions Backup</vt:lpstr>
      <vt:lpstr>3. Travel Time Benefits</vt:lpstr>
      <vt:lpstr>3B. TTS Backup 2028</vt:lpstr>
      <vt:lpstr>3C. TTS Backup 2058</vt:lpstr>
      <vt:lpstr>3D. TTS Backup All Years</vt:lpstr>
      <vt:lpstr>Job Creation Benefit</vt:lpstr>
      <vt:lpstr>Job Creation Backup</vt:lpstr>
      <vt:lpstr>4. Foregone Cost Savings</vt:lpstr>
      <vt:lpstr>4B. Foregone Cost Backup</vt:lpstr>
      <vt:lpstr>5. Transit Facility Benefits</vt:lpstr>
      <vt:lpstr>5B. Transit Facility Backup</vt:lpstr>
      <vt:lpstr>5. Repurposing ROW Benefits</vt:lpstr>
      <vt:lpstr>6. Pedestrian Facility Benefits</vt:lpstr>
      <vt:lpstr>6B. Pedestrian Facility Backup</vt:lpstr>
      <vt:lpstr>7. Cycling Facility Benefits</vt:lpstr>
      <vt:lpstr>8. Mortality Reduction Benefits</vt:lpstr>
      <vt:lpstr>9. Ped &amp; Cyclist Count Backup</vt:lpstr>
      <vt:lpstr>Work Zone Closure Impact</vt:lpstr>
      <vt:lpstr>10. Future Eligible Costs</vt:lpstr>
      <vt:lpstr>11. Work Zone Impact Costs</vt:lpstr>
      <vt:lpstr>12. Lifecycle Mgmt. Costs</vt:lpstr>
      <vt:lpstr>Appendix A. Parameter Values</vt:lpstr>
      <vt:lpstr>Appendix B. Project Info</vt:lpstr>
      <vt:lpstr>All_Purpose_Travel</vt:lpstr>
      <vt:lpstr>'12. Lifecycle Mgmt. Costs'!AvgDelay_27NB</vt:lpstr>
      <vt:lpstr>'5. Repurposing ROW Benefits'!AvgDelay_27NB</vt:lpstr>
      <vt:lpstr>'5. Transit Facility Benefits'!AvgDelay_27NB</vt:lpstr>
      <vt:lpstr>'6. Pedestrian Facility Benefits'!AvgDelay_27NB</vt:lpstr>
      <vt:lpstr>'7. Cycling Facility Benefits'!AvgDelay_27NB</vt:lpstr>
      <vt:lpstr>'8. Mortality Reduction Benefits'!AvgDelay_27NB</vt:lpstr>
      <vt:lpstr>AvgDelay_27NB</vt:lpstr>
      <vt:lpstr>'12. Lifecycle Mgmt. Costs'!AvgDelay_27PA</vt:lpstr>
      <vt:lpstr>'5. Repurposing ROW Benefits'!AvgDelay_27PA</vt:lpstr>
      <vt:lpstr>'5. Transit Facility Benefits'!AvgDelay_27PA</vt:lpstr>
      <vt:lpstr>'6. Pedestrian Facility Benefits'!AvgDelay_27PA</vt:lpstr>
      <vt:lpstr>'7. Cycling Facility Benefits'!AvgDelay_27PA</vt:lpstr>
      <vt:lpstr>'8. Mortality Reduction Benefits'!AvgDelay_27PA</vt:lpstr>
      <vt:lpstr>AvgDelay_27PA</vt:lpstr>
      <vt:lpstr>'12. Lifecycle Mgmt. Costs'!AvgDelay_27PAB</vt:lpstr>
      <vt:lpstr>'5. Repurposing ROW Benefits'!AvgDelay_27PAB</vt:lpstr>
      <vt:lpstr>'5. Transit Facility Benefits'!AvgDelay_27PAB</vt:lpstr>
      <vt:lpstr>'6. Pedestrian Facility Benefits'!AvgDelay_27PAB</vt:lpstr>
      <vt:lpstr>AvgDelay_27PAB</vt:lpstr>
      <vt:lpstr>'12. Lifecycle Mgmt. Costs'!AvgDelay_57NB</vt:lpstr>
      <vt:lpstr>'5. Repurposing ROW Benefits'!AvgDelay_57NB</vt:lpstr>
      <vt:lpstr>'5. Transit Facility Benefits'!AvgDelay_57NB</vt:lpstr>
      <vt:lpstr>'6. Pedestrian Facility Benefits'!AvgDelay_57NB</vt:lpstr>
      <vt:lpstr>'7. Cycling Facility Benefits'!AvgDelay_57NB</vt:lpstr>
      <vt:lpstr>'8. Mortality Reduction Benefits'!AvgDelay_57NB</vt:lpstr>
      <vt:lpstr>AvgDelay_57NB</vt:lpstr>
      <vt:lpstr>'12. Lifecycle Mgmt. Costs'!AvgDelay_57PA</vt:lpstr>
      <vt:lpstr>'5. Repurposing ROW Benefits'!AvgDelay_57PA</vt:lpstr>
      <vt:lpstr>'5. Transit Facility Benefits'!AvgDelay_57PA</vt:lpstr>
      <vt:lpstr>'6. Pedestrian Facility Benefits'!AvgDelay_57PA</vt:lpstr>
      <vt:lpstr>'7. Cycling Facility Benefits'!AvgDelay_57PA</vt:lpstr>
      <vt:lpstr>'8. Mortality Reduction Benefits'!AvgDelay_57PA</vt:lpstr>
      <vt:lpstr>AvgDelay_57PA</vt:lpstr>
      <vt:lpstr>Closeout</vt:lpstr>
      <vt:lpstr>Date</vt:lpstr>
      <vt:lpstr>DelayChange_NB</vt:lpstr>
      <vt:lpstr>DelayChange_PA</vt:lpstr>
      <vt:lpstr>'12. Lifecycle Mgmt. Costs'!DelayTot_27NB</vt:lpstr>
      <vt:lpstr>'5. Repurposing ROW Benefits'!DelayTot_27NB</vt:lpstr>
      <vt:lpstr>'5. Transit Facility Benefits'!DelayTot_27NB</vt:lpstr>
      <vt:lpstr>'6. Pedestrian Facility Benefits'!DelayTot_27NB</vt:lpstr>
      <vt:lpstr>'7. Cycling Facility Benefits'!DelayTot_27NB</vt:lpstr>
      <vt:lpstr>'8. Mortality Reduction Benefits'!DelayTot_27NB</vt:lpstr>
      <vt:lpstr>DelayTot_27NB</vt:lpstr>
      <vt:lpstr>'12. Lifecycle Mgmt. Costs'!DelayTot_27PA</vt:lpstr>
      <vt:lpstr>'5. Repurposing ROW Benefits'!DelayTot_27PA</vt:lpstr>
      <vt:lpstr>'5. Transit Facility Benefits'!DelayTot_27PA</vt:lpstr>
      <vt:lpstr>'6. Pedestrian Facility Benefits'!DelayTot_27PA</vt:lpstr>
      <vt:lpstr>'7. Cycling Facility Benefits'!DelayTot_27PA</vt:lpstr>
      <vt:lpstr>'8. Mortality Reduction Benefits'!DelayTot_27PA</vt:lpstr>
      <vt:lpstr>DelayTot_27PA</vt:lpstr>
      <vt:lpstr>First_Year</vt:lpstr>
      <vt:lpstr>Last_Year</vt:lpstr>
      <vt:lpstr>'12. Lifecycle Mgmt. Costs'!MPH_27NB</vt:lpstr>
      <vt:lpstr>'5. Repurposing ROW Benefits'!MPH_27NB</vt:lpstr>
      <vt:lpstr>'5. Transit Facility Benefits'!MPH_27NB</vt:lpstr>
      <vt:lpstr>'6. Pedestrian Facility Benefits'!MPH_27NB</vt:lpstr>
      <vt:lpstr>'7. Cycling Facility Benefits'!MPH_27NB</vt:lpstr>
      <vt:lpstr>'8. Mortality Reduction Benefits'!MPH_27NB</vt:lpstr>
      <vt:lpstr>MPH_27NB</vt:lpstr>
      <vt:lpstr>'12. Lifecycle Mgmt. Costs'!MPH_27PA</vt:lpstr>
      <vt:lpstr>'5. Repurposing ROW Benefits'!MPH_27PA</vt:lpstr>
      <vt:lpstr>'5. Transit Facility Benefits'!MPH_27PA</vt:lpstr>
      <vt:lpstr>'6. Pedestrian Facility Benefits'!MPH_27PA</vt:lpstr>
      <vt:lpstr>'7. Cycling Facility Benefits'!MPH_27PA</vt:lpstr>
      <vt:lpstr>'8. Mortality Reduction Benefits'!MPH_27PA</vt:lpstr>
      <vt:lpstr>MPH_27PA</vt:lpstr>
      <vt:lpstr>'12. Lifecycle Mgmt. Costs'!MPH_57NB</vt:lpstr>
      <vt:lpstr>'5. Repurposing ROW Benefits'!MPH_57NB</vt:lpstr>
      <vt:lpstr>'5. Transit Facility Benefits'!MPH_57NB</vt:lpstr>
      <vt:lpstr>'6. Pedestrian Facility Benefits'!MPH_57NB</vt:lpstr>
      <vt:lpstr>'7. Cycling Facility Benefits'!MPH_57NB</vt:lpstr>
      <vt:lpstr>'8. Mortality Reduction Benefits'!MPH_57NB</vt:lpstr>
      <vt:lpstr>MPH_57NB</vt:lpstr>
      <vt:lpstr>'12. Lifecycle Mgmt. Costs'!MPH_57PA</vt:lpstr>
      <vt:lpstr>'5. Repurposing ROW Benefits'!MPH_57PA</vt:lpstr>
      <vt:lpstr>'5. Transit Facility Benefits'!MPH_57PA</vt:lpstr>
      <vt:lpstr>'6. Pedestrian Facility Benefits'!MPH_57PA</vt:lpstr>
      <vt:lpstr>'7. Cycling Facility Benefits'!MPH_57PA</vt:lpstr>
      <vt:lpstr>'8. Mortality Reduction Benefits'!MPH_57PA</vt:lpstr>
      <vt:lpstr>MPH_57PA</vt:lpstr>
      <vt:lpstr>MPHChange_NB</vt:lpstr>
      <vt:lpstr>MPHChange_PA</vt:lpstr>
      <vt:lpstr>Passenger_Vehicles_Occupancy</vt:lpstr>
      <vt:lpstr>'1. Safety Benefits'!Print_Area</vt:lpstr>
      <vt:lpstr>'10. Future Eligible Costs'!Print_Area</vt:lpstr>
      <vt:lpstr>'11. Work Zone Impact Costs'!Print_Area</vt:lpstr>
      <vt:lpstr>'12. Lifecycle Mgmt. Costs'!Print_Area</vt:lpstr>
      <vt:lpstr>'1B. Safety Backup'!Print_Area</vt:lpstr>
      <vt:lpstr>'2. Emissions Benefits'!Print_Area</vt:lpstr>
      <vt:lpstr>'2B. Emissions Backup'!Print_Area</vt:lpstr>
      <vt:lpstr>'3. Travel Time Benefits'!Print_Area</vt:lpstr>
      <vt:lpstr>'3B. TTS Backup 2028'!Print_Area</vt:lpstr>
      <vt:lpstr>'4. Foregone Cost Savings'!Print_Area</vt:lpstr>
      <vt:lpstr>'4B. Foregone Cost Backup'!Print_Area</vt:lpstr>
      <vt:lpstr>'5. Repurposing ROW Benefits'!Print_Area</vt:lpstr>
      <vt:lpstr>'6. Pedestrian Facility Benefits'!Print_Area</vt:lpstr>
      <vt:lpstr>'6B. Pedestrian Facility Backup'!Print_Area</vt:lpstr>
      <vt:lpstr>'ES-1. Executive Summary'!Print_Area</vt:lpstr>
      <vt:lpstr>'ES-2. B&amp;C Summary Backup'!Print_Area</vt:lpstr>
      <vt:lpstr>'1. Safety Benefits'!Print_Titles</vt:lpstr>
      <vt:lpstr>'12. Lifecycle Mgmt. Costs'!Print_Titles</vt:lpstr>
      <vt:lpstr>'1B. Safety Backup'!Print_Titles</vt:lpstr>
      <vt:lpstr>'2. Emissions Benefits'!Print_Titles</vt:lpstr>
      <vt:lpstr>'2B. Emissions Backup'!Print_Titles</vt:lpstr>
      <vt:lpstr>'3B. TTS Backup 2028'!Print_Titles</vt:lpstr>
      <vt:lpstr>'3C. TTS Backup 2058'!Print_Titles</vt:lpstr>
      <vt:lpstr>'3D. TTS Backup All Years'!Print_Titles</vt:lpstr>
      <vt:lpstr>'4. Foregone Cost Savings'!Print_Titles</vt:lpstr>
      <vt:lpstr>'4B. Foregone Cost Backup'!Print_Titles</vt:lpstr>
      <vt:lpstr>'5. Repurposing ROW Benefits'!Print_Titles</vt:lpstr>
      <vt:lpstr>'5. Transit Facility Benefits'!Print_Titles</vt:lpstr>
      <vt:lpstr>'6. Pedestrian Facility Benefits'!Print_Titles</vt:lpstr>
      <vt:lpstr>'7. Cycling Facility Benefits'!Print_Titles</vt:lpstr>
      <vt:lpstr>'Appendix A. Parameter Values'!Print_Titles</vt:lpstr>
      <vt:lpstr>'ES-2. B&amp;C Summary Backup'!Print_Titles</vt:lpstr>
      <vt:lpstr>Project_Name</vt:lpstr>
      <vt:lpstr>TrafChange_NB</vt:lpstr>
      <vt:lpstr>TrafChange_PA</vt:lpstr>
      <vt:lpstr>'12. Lifecycle Mgmt. Costs'!Traffic_27NB</vt:lpstr>
      <vt:lpstr>'5. Repurposing ROW Benefits'!Traffic_27NB</vt:lpstr>
      <vt:lpstr>'5. Transit Facility Benefits'!Traffic_27NB</vt:lpstr>
      <vt:lpstr>'6. Pedestrian Facility Benefits'!Traffic_27NB</vt:lpstr>
      <vt:lpstr>'7. Cycling Facility Benefits'!Traffic_27NB</vt:lpstr>
      <vt:lpstr>'8. Mortality Reduction Benefits'!Traffic_27NB</vt:lpstr>
      <vt:lpstr>Traffic_27NB</vt:lpstr>
      <vt:lpstr>'12. Lifecycle Mgmt. Costs'!Traffic_27PA</vt:lpstr>
      <vt:lpstr>'5. Repurposing ROW Benefits'!Traffic_27PA</vt:lpstr>
      <vt:lpstr>'5. Transit Facility Benefits'!Traffic_27PA</vt:lpstr>
      <vt:lpstr>'6. Pedestrian Facility Benefits'!Traffic_27PA</vt:lpstr>
      <vt:lpstr>'7. Cycling Facility Benefits'!Traffic_27PA</vt:lpstr>
      <vt:lpstr>'8. Mortality Reduction Benefits'!Traffic_27PA</vt:lpstr>
      <vt:lpstr>Traffic_27PA</vt:lpstr>
      <vt:lpstr>'12. Lifecycle Mgmt. Costs'!Traffic_57NB</vt:lpstr>
      <vt:lpstr>'5. Repurposing ROW Benefits'!Traffic_57NB</vt:lpstr>
      <vt:lpstr>'5. Transit Facility Benefits'!Traffic_57NB</vt:lpstr>
      <vt:lpstr>'6. Pedestrian Facility Benefits'!Traffic_57NB</vt:lpstr>
      <vt:lpstr>'7. Cycling Facility Benefits'!Traffic_57NB</vt:lpstr>
      <vt:lpstr>'8. Mortality Reduction Benefits'!Traffic_57NB</vt:lpstr>
      <vt:lpstr>Traffic_57NB</vt:lpstr>
      <vt:lpstr>'12. Lifecycle Mgmt. Costs'!Traffic_57PA</vt:lpstr>
      <vt:lpstr>'5. Repurposing ROW Benefits'!Traffic_57PA</vt:lpstr>
      <vt:lpstr>'5. Transit Facility Benefits'!Traffic_57PA</vt:lpstr>
      <vt:lpstr>'6. Pedestrian Facility Benefits'!Traffic_57PA</vt:lpstr>
      <vt:lpstr>'7. Cycling Facility Benefits'!Traffic_57PA</vt:lpstr>
      <vt:lpstr>'8. Mortality Reduction Benefits'!Traffic_57PA</vt:lpstr>
      <vt:lpstr>Traffic_57PA</vt:lpstr>
      <vt:lpstr>Truck_Travel</vt:lpstr>
      <vt:lpstr>'12. Lifecycle Mgmt. Costs'!TTSB_27</vt:lpstr>
      <vt:lpstr>'5. Repurposing ROW Benefits'!TTSB_27</vt:lpstr>
      <vt:lpstr>'5. Transit Facility Benefits'!TTSB_27</vt:lpstr>
      <vt:lpstr>'6. Pedestrian Facility Benefits'!TTSB_27</vt:lpstr>
      <vt:lpstr>'7. Cycling Facility Benefits'!TTSB_27</vt:lpstr>
      <vt:lpstr>'8. Mortality Reduction Benefits'!TTSB_27</vt:lpstr>
      <vt:lpstr>TTSB_27</vt:lpstr>
      <vt:lpstr>'12. Lifecycle Mgmt. Costs'!TTSB_57</vt:lpstr>
      <vt:lpstr>'5. Repurposing ROW Benefits'!TTSB_57</vt:lpstr>
      <vt:lpstr>'5. Transit Facility Benefits'!TTSB_57</vt:lpstr>
      <vt:lpstr>'6. Pedestrian Facility Benefits'!TTSB_57</vt:lpstr>
      <vt:lpstr>'7. Cycling Facility Benefits'!TTSB_57</vt:lpstr>
      <vt:lpstr>'8. Mortality Reduction Benefits'!TTSB_57</vt:lpstr>
      <vt:lpstr>TTSB_57</vt:lpstr>
      <vt:lpstr>'12. Lifecycle Mgmt. Costs'!VHT_27NB</vt:lpstr>
      <vt:lpstr>'5. Repurposing ROW Benefits'!VHT_27NB</vt:lpstr>
      <vt:lpstr>'5. Transit Facility Benefits'!VHT_27NB</vt:lpstr>
      <vt:lpstr>'6. Pedestrian Facility Benefits'!VHT_27NB</vt:lpstr>
      <vt:lpstr>'7. Cycling Facility Benefits'!VHT_27NB</vt:lpstr>
      <vt:lpstr>'8. Mortality Reduction Benefits'!VHT_27NB</vt:lpstr>
      <vt:lpstr>VHT_27NB</vt:lpstr>
      <vt:lpstr>'12. Lifecycle Mgmt. Costs'!VHT_27PA</vt:lpstr>
      <vt:lpstr>'5. Repurposing ROW Benefits'!VHT_27PA</vt:lpstr>
      <vt:lpstr>'5. Transit Facility Benefits'!VHT_27PA</vt:lpstr>
      <vt:lpstr>'6. Pedestrian Facility Benefits'!VHT_27PA</vt:lpstr>
      <vt:lpstr>'7. Cycling Facility Benefits'!VHT_27PA</vt:lpstr>
      <vt:lpstr>'8. Mortality Reduction Benefits'!VHT_27PA</vt:lpstr>
      <vt:lpstr>VHT_27PA</vt:lpstr>
      <vt:lpstr>'12. Lifecycle Mgmt. Costs'!VHT_57NB</vt:lpstr>
      <vt:lpstr>'5. Repurposing ROW Benefits'!VHT_57NB</vt:lpstr>
      <vt:lpstr>'5. Transit Facility Benefits'!VHT_57NB</vt:lpstr>
      <vt:lpstr>'6. Pedestrian Facility Benefits'!VHT_57NB</vt:lpstr>
      <vt:lpstr>'7. Cycling Facility Benefits'!VHT_57NB</vt:lpstr>
      <vt:lpstr>'8. Mortality Reduction Benefits'!VHT_57NB</vt:lpstr>
      <vt:lpstr>VHT_57NB</vt:lpstr>
      <vt:lpstr>'12. Lifecycle Mgmt. Costs'!VHT_57PA</vt:lpstr>
      <vt:lpstr>'5. Repurposing ROW Benefits'!VHT_57PA</vt:lpstr>
      <vt:lpstr>'5. Transit Facility Benefits'!VHT_57PA</vt:lpstr>
      <vt:lpstr>'6. Pedestrian Facility Benefits'!VHT_57PA</vt:lpstr>
      <vt:lpstr>'7. Cycling Facility Benefits'!VHT_57PA</vt:lpstr>
      <vt:lpstr>'8. Mortality Reduction Benefits'!VHT_57PA</vt:lpstr>
      <vt:lpstr>VHT_57PA</vt:lpstr>
      <vt:lpstr>VHTChange_NB</vt:lpstr>
      <vt:lpstr>VHTChange_PA</vt:lpstr>
      <vt:lpstr>'12. Lifecycle Mgmt. Costs'!VMT_27NB</vt:lpstr>
      <vt:lpstr>'5. Repurposing ROW Benefits'!VMT_27NB</vt:lpstr>
      <vt:lpstr>'5. Transit Facility Benefits'!VMT_27NB</vt:lpstr>
      <vt:lpstr>'6. Pedestrian Facility Benefits'!VMT_27NB</vt:lpstr>
      <vt:lpstr>'7. Cycling Facility Benefits'!VMT_27NB</vt:lpstr>
      <vt:lpstr>'8. Mortality Reduction Benefits'!VMT_27NB</vt:lpstr>
      <vt:lpstr>VMT_27NB</vt:lpstr>
      <vt:lpstr>'12. Lifecycle Mgmt. Costs'!VMT_27PA</vt:lpstr>
      <vt:lpstr>'5. Repurposing ROW Benefits'!VMT_27PA</vt:lpstr>
      <vt:lpstr>'5. Transit Facility Benefits'!VMT_27PA</vt:lpstr>
      <vt:lpstr>'6. Pedestrian Facility Benefits'!VMT_27PA</vt:lpstr>
      <vt:lpstr>'7. Cycling Facility Benefits'!VMT_27PA</vt:lpstr>
      <vt:lpstr>'8. Mortality Reduction Benefits'!VMT_27PA</vt:lpstr>
      <vt:lpstr>VMT_27PA</vt:lpstr>
      <vt:lpstr>'12. Lifecycle Mgmt. Costs'!VMT_57NB</vt:lpstr>
      <vt:lpstr>'5. Repurposing ROW Benefits'!VMT_57NB</vt:lpstr>
      <vt:lpstr>'5. Transit Facility Benefits'!VMT_57NB</vt:lpstr>
      <vt:lpstr>'6. Pedestrian Facility Benefits'!VMT_57NB</vt:lpstr>
      <vt:lpstr>'7. Cycling Facility Benefits'!VMT_57NB</vt:lpstr>
      <vt:lpstr>'8. Mortality Reduction Benefits'!VMT_57NB</vt:lpstr>
      <vt:lpstr>VMT_57NB</vt:lpstr>
      <vt:lpstr>'12. Lifecycle Mgmt. Costs'!VMT_57PA</vt:lpstr>
      <vt:lpstr>'5. Repurposing ROW Benefits'!VMT_57PA</vt:lpstr>
      <vt:lpstr>'5. Transit Facility Benefits'!VMT_57PA</vt:lpstr>
      <vt:lpstr>'6. Pedestrian Facility Benefits'!VMT_57PA</vt:lpstr>
      <vt:lpstr>'7. Cycling Facility Benefits'!VMT_57PA</vt:lpstr>
      <vt:lpstr>'8. Mortality Reduction Benefits'!VMT_57PA</vt:lpstr>
      <vt:lpstr>VMT_57PA</vt:lpstr>
      <vt:lpstr>VMTChange_NB</vt:lpstr>
      <vt:lpstr>VMTChange_PA</vt:lpstr>
      <vt:lpstr>'12. Lifecycle Mgmt. Costs'!Years_All</vt:lpstr>
      <vt:lpstr>'5. Repurposing ROW Benefits'!Years_All</vt:lpstr>
      <vt:lpstr>'5. Transit Facility Benefits'!Years_All</vt:lpstr>
      <vt:lpstr>'6. Pedestrian Facility Benefits'!Years_All</vt:lpstr>
      <vt:lpstr>'7. Cycling Facility Benefits'!Years_All</vt:lpstr>
      <vt:lpstr>'8. Mortality Reduction Benefits'!Years_All</vt:lpstr>
      <vt:lpstr>Years_All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Pavao, Peter</dc:creator>
  <cp:keywords/>
  <dc:description/>
  <cp:lastModifiedBy>Zachary Tiang</cp:lastModifiedBy>
  <cp:revision/>
  <cp:lastPrinted>2023-02-28T03:15:20Z</cp:lastPrinted>
  <dcterms:created xsi:type="dcterms:W3CDTF">2015-06-01T19:26:38Z</dcterms:created>
  <dcterms:modified xsi:type="dcterms:W3CDTF">2023-02-28T17:03:38Z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a07801b6-18da-424a-99df-a5b6b797f36a</vt:lpwstr>
  </property>
  <property fmtid="{D5CDD505-2E9C-101B-9397-08002B2CF9AE}" pid="3" name="ContentTypeId">
    <vt:lpwstr>0x010100265EDB4FB5360842A2C5EBE15A5428DA</vt:lpwstr>
  </property>
  <property fmtid="{D5CDD505-2E9C-101B-9397-08002B2CF9AE}" pid="4" name="MediaServiceImageTags">
    <vt:lpwstr/>
  </property>
</Properties>
</file>